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Transco_OKTCo_SWTCo\Filed Documents 5-27-22\"/>
    </mc:Choice>
  </mc:AlternateContent>
  <xr:revisionPtr revIDLastSave="0" documentId="8_{249D7EF5-2BB5-4E4F-9592-7F769373000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3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138" i="18"/>
  <c r="H106" i="18"/>
  <c r="H74" i="18"/>
  <c r="H42" i="18"/>
  <c r="H209" i="18"/>
  <c r="H122" i="18" l="1"/>
  <c r="H46" i="18"/>
  <c r="H78" i="18"/>
  <c r="H110" i="18"/>
  <c r="H142" i="18"/>
  <c r="H26" i="18"/>
  <c r="H58" i="18"/>
  <c r="H90" i="18"/>
  <c r="H30" i="18"/>
  <c r="H62" i="18"/>
  <c r="H94" i="18"/>
  <c r="H126" i="18"/>
  <c r="H34" i="18"/>
  <c r="H50" i="18"/>
  <c r="H66" i="18"/>
  <c r="H82" i="18"/>
  <c r="H98" i="18"/>
  <c r="H114" i="18"/>
  <c r="H130" i="18"/>
  <c r="H22" i="18"/>
  <c r="H38" i="18"/>
  <c r="H54" i="18"/>
  <c r="H70" i="18"/>
  <c r="H86" i="18"/>
  <c r="H102" i="18"/>
  <c r="H118" i="18"/>
  <c r="H134" i="18"/>
  <c r="H39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46" i="18"/>
  <c r="H154" i="18"/>
  <c r="H162" i="18"/>
  <c r="H170" i="18"/>
  <c r="H178" i="18"/>
  <c r="H186" i="18"/>
  <c r="H194" i="18"/>
  <c r="H202" i="18"/>
  <c r="H206" i="18"/>
  <c r="H27" i="18"/>
  <c r="H35" i="18"/>
  <c r="H47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150" i="18"/>
  <c r="H158" i="18"/>
  <c r="H166" i="18"/>
  <c r="H174" i="18"/>
  <c r="H182" i="18"/>
  <c r="H190" i="18"/>
  <c r="H198" i="18"/>
  <c r="H210" i="18"/>
  <c r="H23" i="18"/>
  <c r="H31" i="18"/>
  <c r="H43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O191" i="18" l="1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P38" i="18" s="1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73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53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C72" i="18"/>
  <c r="D33" i="18"/>
  <c r="D57" i="18" s="1"/>
  <c r="D69" i="18" s="1"/>
  <c r="D34" i="18"/>
  <c r="D46" i="18" s="1"/>
  <c r="C54" i="18"/>
  <c r="C66" i="18"/>
  <c r="C90" i="18" s="1"/>
  <c r="C102" i="18" s="1"/>
  <c r="C114" i="18" s="1"/>
  <c r="C126" i="18" s="1"/>
  <c r="C138" i="18" s="1"/>
  <c r="C150" i="18" s="1"/>
  <c r="C162" i="18" s="1"/>
  <c r="D53" i="18"/>
  <c r="C85" i="18"/>
  <c r="C97" i="18" s="1"/>
  <c r="C109" i="18" s="1"/>
  <c r="C121" i="18" s="1"/>
  <c r="C133" i="18" s="1"/>
  <c r="C145" i="18" s="1"/>
  <c r="C157" i="18" s="1"/>
  <c r="C71" i="18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P78" i="18" s="1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177" i="18"/>
  <c r="P208" i="18"/>
  <c r="P57" i="18"/>
  <c r="P165" i="18"/>
  <c r="P173" i="18"/>
  <c r="E31" i="29"/>
  <c r="E24" i="29"/>
  <c r="D27" i="29"/>
  <c r="H21" i="29"/>
  <c r="E30" i="29"/>
  <c r="D31" i="29"/>
  <c r="G28" i="29"/>
  <c r="G24" i="29"/>
  <c r="D25" i="29"/>
  <c r="D26" i="29"/>
  <c r="H32" i="29"/>
  <c r="D35" i="29"/>
  <c r="E28" i="29"/>
  <c r="G36" i="29"/>
  <c r="E27" i="29"/>
  <c r="H26" i="29"/>
  <c r="E23" i="29"/>
  <c r="G30" i="29"/>
  <c r="G35" i="29"/>
  <c r="D28" i="29"/>
  <c r="G31" i="29"/>
  <c r="D37" i="29"/>
  <c r="H28" i="29"/>
  <c r="H27" i="29"/>
  <c r="G22" i="29"/>
  <c r="D22" i="29"/>
  <c r="D21" i="29"/>
  <c r="H35" i="29"/>
  <c r="G33" i="29"/>
  <c r="H25" i="29"/>
  <c r="D29" i="29"/>
  <c r="H23" i="29"/>
  <c r="D33" i="29"/>
  <c r="G21" i="29"/>
  <c r="H30" i="29"/>
  <c r="H31" i="29"/>
  <c r="H37" i="29"/>
  <c r="G25" i="29"/>
  <c r="E25" i="29"/>
  <c r="G23" i="29"/>
  <c r="E22" i="29"/>
  <c r="E36" i="29"/>
  <c r="D24" i="29"/>
  <c r="G37" i="29"/>
  <c r="G29" i="29"/>
  <c r="H36" i="29"/>
  <c r="D36" i="29"/>
  <c r="G32" i="29"/>
  <c r="E21" i="29"/>
  <c r="G27" i="29"/>
  <c r="E29" i="29"/>
  <c r="H24" i="29"/>
  <c r="H33" i="29"/>
  <c r="H22" i="29"/>
  <c r="H29" i="29"/>
  <c r="E33" i="29"/>
  <c r="E32" i="29"/>
  <c r="D32" i="29"/>
  <c r="G26" i="29"/>
  <c r="E37" i="29"/>
  <c r="E26" i="29"/>
  <c r="D23" i="29"/>
  <c r="E35" i="29"/>
  <c r="D30" i="29"/>
  <c r="C49" i="18" l="1"/>
  <c r="C58" i="18"/>
  <c r="D45" i="18"/>
  <c r="C63" i="18"/>
  <c r="C78" i="18"/>
  <c r="C65" i="18"/>
  <c r="C89" i="18" s="1"/>
  <c r="C101" i="18" s="1"/>
  <c r="C113" i="18" s="1"/>
  <c r="C125" i="18" s="1"/>
  <c r="C137" i="18" s="1"/>
  <c r="C149" i="18" s="1"/>
  <c r="C161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3" i="18"/>
  <c r="D62" i="18"/>
  <c r="D74" i="18" s="1"/>
  <c r="D64" i="18"/>
  <c r="D76" i="18" s="1"/>
  <c r="D54" i="18"/>
  <c r="D48" i="18"/>
  <c r="D81" i="18"/>
  <c r="D93" i="18" s="1"/>
  <c r="D105" i="18" s="1"/>
  <c r="D117" i="18" s="1"/>
  <c r="D129" i="18" s="1"/>
  <c r="D141" i="18" s="1"/>
  <c r="D153" i="18" s="1"/>
  <c r="D165" i="18" s="1"/>
  <c r="D77" i="18"/>
  <c r="J38" i="29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6" i="18"/>
  <c r="D98" i="18" s="1"/>
  <c r="D110" i="18" s="1"/>
  <c r="D122" i="18" s="1"/>
  <c r="D134" i="18" s="1"/>
  <c r="D146" i="18" s="1"/>
  <c r="D158" i="18" s="1"/>
  <c r="D182" i="18" s="1"/>
  <c r="D194" i="18" s="1"/>
  <c r="D206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7" i="18"/>
  <c r="C179" i="18"/>
  <c r="C191" i="18" s="1"/>
  <c r="C203" i="18" s="1"/>
  <c r="J34" i="29"/>
  <c r="J39" i="29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C69" i="18" l="1"/>
  <c r="C177" i="18"/>
  <c r="C189" i="18" s="1"/>
  <c r="C201" i="18" s="1"/>
  <c r="D170" i="18"/>
  <c r="D177" i="18"/>
  <c r="D189" i="18" s="1"/>
  <c r="D201" i="18" s="1"/>
  <c r="E39" i="29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F39" i="29" l="1"/>
  <c r="D178" i="18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20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97" i="18"/>
  <c r="J97" i="18" s="1"/>
  <c r="L97" i="18" s="1"/>
  <c r="I124" i="18"/>
  <c r="J124" i="18" s="1"/>
  <c r="L124" i="18" s="1"/>
  <c r="I181" i="18"/>
  <c r="J181" i="18" s="1"/>
  <c r="L181" i="18" s="1"/>
  <c r="I42" i="18"/>
  <c r="J42" i="18" s="1"/>
  <c r="L42" i="18" s="1"/>
  <c r="I31" i="18"/>
  <c r="J31" i="18" s="1"/>
  <c r="L31" i="18" s="1"/>
  <c r="I156" i="18"/>
  <c r="J156" i="18" s="1"/>
  <c r="L156" i="18" s="1"/>
  <c r="I70" i="18"/>
  <c r="J70" i="18" s="1"/>
  <c r="L70" i="18" s="1"/>
  <c r="I36" i="18"/>
  <c r="J36" i="18" s="1"/>
  <c r="L36" i="18" s="1"/>
  <c r="I176" i="18"/>
  <c r="J176" i="18" s="1"/>
  <c r="L176" i="18" s="1"/>
  <c r="I71" i="18"/>
  <c r="J71" i="18" s="1"/>
  <c r="L71" i="18" s="1"/>
  <c r="I64" i="18"/>
  <c r="J64" i="18" s="1"/>
  <c r="L64" i="18" s="1"/>
  <c r="I179" i="18"/>
  <c r="J179" i="18" s="1"/>
  <c r="L179" i="18" s="1"/>
  <c r="I98" i="18"/>
  <c r="J98" i="18" s="1"/>
  <c r="L98" i="18" s="1"/>
  <c r="I191" i="18"/>
  <c r="J191" i="18" s="1"/>
  <c r="L191" i="18" s="1"/>
  <c r="I58" i="18"/>
  <c r="J58" i="18" s="1"/>
  <c r="L58" i="18" s="1"/>
  <c r="I171" i="18"/>
  <c r="J171" i="18" s="1"/>
  <c r="L171" i="18" s="1"/>
  <c r="I117" i="18"/>
  <c r="J117" i="18" s="1"/>
  <c r="L117" i="18" s="1"/>
  <c r="I30" i="18"/>
  <c r="J30" i="18" s="1"/>
  <c r="L30" i="18" s="1"/>
  <c r="I91" i="18"/>
  <c r="J91" i="18" s="1"/>
  <c r="L91" i="18" s="1"/>
  <c r="I189" i="18"/>
  <c r="J189" i="18" s="1"/>
  <c r="L189" i="18" s="1"/>
  <c r="I184" i="18"/>
  <c r="J184" i="18" s="1"/>
  <c r="L184" i="18" s="1"/>
  <c r="I152" i="18"/>
  <c r="J152" i="18" s="1"/>
  <c r="L152" i="18" s="1"/>
  <c r="I208" i="18"/>
  <c r="J208" i="18" s="1"/>
  <c r="L208" i="18" s="1"/>
  <c r="I134" i="18"/>
  <c r="J134" i="18" s="1"/>
  <c r="L134" i="18" s="1"/>
  <c r="I89" i="18"/>
  <c r="J89" i="18" s="1"/>
  <c r="L89" i="18" s="1"/>
  <c r="I183" i="18"/>
  <c r="J183" i="18" s="1"/>
  <c r="L183" i="18" s="1"/>
  <c r="I87" i="18"/>
  <c r="J87" i="18" s="1"/>
  <c r="L87" i="18" s="1"/>
  <c r="I61" i="18"/>
  <c r="J61" i="18" s="1"/>
  <c r="L61" i="18" s="1"/>
  <c r="I175" i="18"/>
  <c r="J175" i="18" s="1"/>
  <c r="L175" i="18" s="1"/>
  <c r="I132" i="18"/>
  <c r="J132" i="18" s="1"/>
  <c r="L132" i="18" s="1"/>
  <c r="I25" i="18"/>
  <c r="J25" i="18" s="1"/>
  <c r="L25" i="18" s="1"/>
  <c r="I111" i="18"/>
  <c r="J111" i="18" s="1"/>
  <c r="L111" i="18" s="1"/>
  <c r="I54" i="18"/>
  <c r="J54" i="18" s="1"/>
  <c r="L54" i="18" s="1"/>
  <c r="I192" i="18"/>
  <c r="J192" i="18" s="1"/>
  <c r="L192" i="18" s="1"/>
  <c r="I86" i="18"/>
  <c r="J86" i="18" s="1"/>
  <c r="L86" i="18" s="1"/>
  <c r="I116" i="18"/>
  <c r="J116" i="18" s="1"/>
  <c r="L116" i="18" s="1"/>
  <c r="I59" i="18"/>
  <c r="J59" i="18" s="1"/>
  <c r="L59" i="18" s="1"/>
  <c r="I27" i="18"/>
  <c r="J27" i="18" s="1"/>
  <c r="L27" i="18" s="1"/>
  <c r="I83" i="18"/>
  <c r="J83" i="18" s="1"/>
  <c r="L83" i="18" s="1"/>
  <c r="I92" i="18"/>
  <c r="J92" i="18" s="1"/>
  <c r="L92" i="18" s="1"/>
  <c r="I77" i="18"/>
  <c r="J77" i="18" s="1"/>
  <c r="L77" i="18" s="1"/>
  <c r="I49" i="18"/>
  <c r="J49" i="18" s="1"/>
  <c r="L49" i="18" s="1"/>
  <c r="I84" i="18"/>
  <c r="J84" i="18" s="1"/>
  <c r="L84" i="18" s="1"/>
  <c r="I161" i="18"/>
  <c r="J161" i="18" s="1"/>
  <c r="L161" i="18" s="1"/>
  <c r="I180" i="18"/>
  <c r="J180" i="18" s="1"/>
  <c r="L180" i="18" s="1"/>
  <c r="I39" i="18"/>
  <c r="J39" i="18" s="1"/>
  <c r="L39" i="18" s="1"/>
  <c r="I186" i="18"/>
  <c r="J186" i="18" s="1"/>
  <c r="L186" i="18" s="1"/>
  <c r="I50" i="18"/>
  <c r="J50" i="18" s="1"/>
  <c r="L50" i="18" s="1"/>
  <c r="I172" i="18"/>
  <c r="J172" i="18" s="1"/>
  <c r="L172" i="18" s="1"/>
  <c r="I104" i="18"/>
  <c r="J104" i="18" s="1"/>
  <c r="L104" i="18" s="1"/>
  <c r="I188" i="18"/>
  <c r="J188" i="18" s="1"/>
  <c r="L188" i="18" s="1"/>
  <c r="I57" i="18"/>
  <c r="J57" i="18" s="1"/>
  <c r="L57" i="18" s="1"/>
  <c r="I99" i="18"/>
  <c r="J99" i="18" s="1"/>
  <c r="L99" i="18" s="1"/>
  <c r="I185" i="18"/>
  <c r="J185" i="18" s="1"/>
  <c r="L185" i="18" s="1"/>
  <c r="I29" i="18"/>
  <c r="J29" i="18" s="1"/>
  <c r="L29" i="18" s="1"/>
  <c r="I62" i="18"/>
  <c r="J62" i="18" s="1"/>
  <c r="L62" i="18" s="1"/>
  <c r="I178" i="18"/>
  <c r="J178" i="18" s="1"/>
  <c r="L178" i="18" s="1"/>
  <c r="I108" i="18"/>
  <c r="J108" i="18" s="1"/>
  <c r="L108" i="18" s="1"/>
  <c r="I38" i="18"/>
  <c r="J38" i="18" s="1"/>
  <c r="L38" i="18" s="1"/>
  <c r="I204" i="18"/>
  <c r="J204" i="18" s="1"/>
  <c r="L204" i="18" s="1"/>
  <c r="I162" i="18"/>
  <c r="J162" i="18" s="1"/>
  <c r="L162" i="18" s="1"/>
  <c r="I107" i="18"/>
  <c r="J107" i="18" s="1"/>
  <c r="L107" i="18" s="1"/>
  <c r="I128" i="18"/>
  <c r="J128" i="18" s="1"/>
  <c r="L128" i="18" s="1"/>
  <c r="I105" i="18"/>
  <c r="J105" i="18" s="1"/>
  <c r="L105" i="18" s="1"/>
  <c r="I60" i="18"/>
  <c r="J60" i="18" s="1"/>
  <c r="L60" i="18" s="1"/>
  <c r="I187" i="18"/>
  <c r="J187" i="18" s="1"/>
  <c r="L187" i="18" s="1"/>
  <c r="I195" i="18"/>
  <c r="J195" i="18" s="1"/>
  <c r="L195" i="18" s="1"/>
  <c r="I193" i="18"/>
  <c r="J193" i="18" s="1"/>
  <c r="L193" i="18" s="1"/>
  <c r="I177" i="18"/>
  <c r="J177" i="18" s="1"/>
  <c r="L177" i="18" s="1"/>
  <c r="I41" i="18"/>
  <c r="J41" i="18" s="1"/>
  <c r="L41" i="18" s="1"/>
  <c r="I160" i="18"/>
  <c r="J160" i="18" s="1"/>
  <c r="L160" i="18" s="1"/>
  <c r="I142" i="18"/>
  <c r="J142" i="18" s="1"/>
  <c r="L142" i="18" s="1"/>
  <c r="I51" i="18"/>
  <c r="J51" i="18" s="1"/>
  <c r="L51" i="18" s="1"/>
  <c r="I137" i="18"/>
  <c r="J137" i="18" s="1"/>
  <c r="L137" i="18" s="1"/>
  <c r="I79" i="18"/>
  <c r="J79" i="18" s="1"/>
  <c r="L79" i="18" s="1"/>
  <c r="I23" i="18"/>
  <c r="J23" i="18" s="1"/>
  <c r="L23" i="18" s="1"/>
  <c r="I69" i="18"/>
  <c r="J69" i="18" s="1"/>
  <c r="L69" i="18" s="1"/>
  <c r="I123" i="18"/>
  <c r="J123" i="18" s="1"/>
  <c r="L123" i="18" s="1"/>
  <c r="I164" i="18"/>
  <c r="J164" i="18" s="1"/>
  <c r="L164" i="18" s="1"/>
  <c r="I73" i="18"/>
  <c r="J73" i="18" s="1"/>
  <c r="L73" i="18" s="1"/>
  <c r="I90" i="18"/>
  <c r="J90" i="18" s="1"/>
  <c r="L90" i="18" s="1"/>
  <c r="I170" i="18"/>
  <c r="J170" i="18" s="1"/>
  <c r="L170" i="18" s="1"/>
  <c r="I63" i="18"/>
  <c r="J63" i="18" s="1"/>
  <c r="L63" i="18" s="1"/>
  <c r="I78" i="18"/>
  <c r="J78" i="18" s="1"/>
  <c r="L78" i="18" s="1"/>
  <c r="I102" i="18"/>
  <c r="J102" i="18" s="1"/>
  <c r="L102" i="18" s="1"/>
  <c r="I95" i="18"/>
  <c r="J95" i="18" s="1"/>
  <c r="L95" i="18" s="1"/>
  <c r="I153" i="18"/>
  <c r="J153" i="18" s="1"/>
  <c r="L153" i="18" s="1"/>
  <c r="I32" i="18"/>
  <c r="J32" i="18" s="1"/>
  <c r="L32" i="18" s="1"/>
  <c r="I173" i="18"/>
  <c r="J173" i="18" s="1"/>
  <c r="L173" i="18" s="1"/>
  <c r="I157" i="18"/>
  <c r="J157" i="18" s="1"/>
  <c r="L157" i="18" s="1"/>
  <c r="I130" i="18"/>
  <c r="J130" i="18" s="1"/>
  <c r="L130" i="18" s="1"/>
  <c r="I149" i="18"/>
  <c r="J149" i="18" s="1"/>
  <c r="L149" i="18" s="1"/>
  <c r="I148" i="18"/>
  <c r="J148" i="18" s="1"/>
  <c r="L148" i="18" s="1"/>
  <c r="I68" i="18"/>
  <c r="J68" i="18" s="1"/>
  <c r="L68" i="18" s="1"/>
  <c r="I47" i="18"/>
  <c r="J47" i="18" s="1"/>
  <c r="L47" i="18" s="1"/>
  <c r="I210" i="18"/>
  <c r="J210" i="18" s="1"/>
  <c r="L210" i="18" s="1"/>
  <c r="I56" i="18"/>
  <c r="J56" i="18" s="1"/>
  <c r="F14" i="29"/>
  <c r="I136" i="18"/>
  <c r="J136" i="18" s="1"/>
  <c r="L136" i="18" s="1"/>
  <c r="I44" i="18"/>
  <c r="J44" i="18" s="1"/>
  <c r="L44" i="18" s="1"/>
  <c r="I197" i="18"/>
  <c r="J197" i="18" s="1"/>
  <c r="L197" i="18" s="1"/>
  <c r="I53" i="18"/>
  <c r="J53" i="18" s="1"/>
  <c r="L53" i="18" s="1"/>
  <c r="I66" i="18"/>
  <c r="J66" i="18" s="1"/>
  <c r="L66" i="18" s="1"/>
  <c r="I67" i="18"/>
  <c r="J67" i="18" s="1"/>
  <c r="L67" i="18" s="1"/>
  <c r="I138" i="18"/>
  <c r="J138" i="18" s="1"/>
  <c r="L138" i="18" s="1"/>
  <c r="I113" i="18"/>
  <c r="J113" i="18" s="1"/>
  <c r="L113" i="18" s="1"/>
  <c r="I40" i="18"/>
  <c r="J40" i="18" s="1"/>
  <c r="L40" i="18" s="1"/>
  <c r="I135" i="18"/>
  <c r="J135" i="18" s="1"/>
  <c r="L135" i="18" s="1"/>
  <c r="I174" i="18"/>
  <c r="J174" i="18" s="1"/>
  <c r="L174" i="18" s="1"/>
  <c r="I129" i="18"/>
  <c r="J129" i="18" s="1"/>
  <c r="L129" i="18" s="1"/>
  <c r="I34" i="18"/>
  <c r="J34" i="18" s="1"/>
  <c r="L34" i="18" s="1"/>
  <c r="I43" i="18"/>
  <c r="J43" i="18" s="1"/>
  <c r="L43" i="18" s="1"/>
  <c r="I198" i="18"/>
  <c r="J198" i="18" s="1"/>
  <c r="L198" i="18" s="1"/>
  <c r="I151" i="18"/>
  <c r="J151" i="18" s="1"/>
  <c r="L151" i="18" s="1"/>
  <c r="I109" i="18"/>
  <c r="J109" i="18" s="1"/>
  <c r="L109" i="18" s="1"/>
  <c r="I199" i="18"/>
  <c r="J199" i="18" s="1"/>
  <c r="L199" i="18" s="1"/>
  <c r="I55" i="18"/>
  <c r="J55" i="18" s="1"/>
  <c r="L55" i="18" s="1"/>
  <c r="I112" i="18"/>
  <c r="J112" i="18" s="1"/>
  <c r="L112" i="18" s="1"/>
  <c r="I75" i="18"/>
  <c r="J75" i="18" s="1"/>
  <c r="L75" i="18" s="1"/>
  <c r="I48" i="18"/>
  <c r="J48" i="18" s="1"/>
  <c r="L48" i="18" s="1"/>
  <c r="I131" i="18"/>
  <c r="J131" i="18" s="1"/>
  <c r="L131" i="18" s="1"/>
  <c r="I127" i="18"/>
  <c r="J127" i="18" s="1"/>
  <c r="L127" i="18" s="1"/>
  <c r="I22" i="18"/>
  <c r="J22" i="18" s="1"/>
  <c r="L22" i="18" s="1"/>
  <c r="I133" i="18"/>
  <c r="J133" i="18" s="1"/>
  <c r="L133" i="18" s="1"/>
  <c r="I65" i="18"/>
  <c r="J65" i="18" s="1"/>
  <c r="L65" i="18" s="1"/>
  <c r="I26" i="18"/>
  <c r="J26" i="18" s="1"/>
  <c r="L26" i="18" s="1"/>
  <c r="I166" i="18"/>
  <c r="J166" i="18" s="1"/>
  <c r="L166" i="18" s="1"/>
  <c r="I144" i="18"/>
  <c r="J144" i="18" s="1"/>
  <c r="L144" i="18" s="1"/>
  <c r="I72" i="18"/>
  <c r="J72" i="18" s="1"/>
  <c r="L72" i="18" s="1"/>
  <c r="I21" i="18"/>
  <c r="J21" i="18" s="1"/>
  <c r="L21" i="18" s="1"/>
  <c r="I196" i="18"/>
  <c r="J196" i="18" s="1"/>
  <c r="L196" i="18" s="1"/>
  <c r="I163" i="18"/>
  <c r="J163" i="18" s="1"/>
  <c r="L163" i="18" s="1"/>
  <c r="I125" i="18"/>
  <c r="J125" i="18" s="1"/>
  <c r="L125" i="18" s="1"/>
  <c r="I118" i="18"/>
  <c r="J118" i="18" s="1"/>
  <c r="L118" i="18" s="1"/>
  <c r="I169" i="18"/>
  <c r="J169" i="18" s="1"/>
  <c r="L169" i="18" s="1"/>
  <c r="I182" i="18"/>
  <c r="J182" i="18" s="1"/>
  <c r="L182" i="18" s="1"/>
  <c r="I202" i="18"/>
  <c r="J202" i="18" s="1"/>
  <c r="L202" i="18" s="1"/>
  <c r="I100" i="18"/>
  <c r="J100" i="18" s="1"/>
  <c r="L100" i="18" s="1"/>
  <c r="I146" i="18"/>
  <c r="J146" i="18" s="1"/>
  <c r="L146" i="18" s="1"/>
  <c r="I85" i="18"/>
  <c r="J85" i="18" s="1"/>
  <c r="L85" i="18" s="1"/>
  <c r="I74" i="18"/>
  <c r="J74" i="18" s="1"/>
  <c r="L74" i="18" s="1"/>
  <c r="I145" i="18"/>
  <c r="J145" i="18" s="1"/>
  <c r="L145" i="18" s="1"/>
  <c r="I158" i="18"/>
  <c r="J158" i="18" s="1"/>
  <c r="L158" i="18" s="1"/>
  <c r="I82" i="18"/>
  <c r="J82" i="18" s="1"/>
  <c r="L82" i="18" s="1"/>
  <c r="I88" i="18"/>
  <c r="J88" i="18" s="1"/>
  <c r="L88" i="18" s="1"/>
  <c r="I190" i="18"/>
  <c r="J190" i="18" s="1"/>
  <c r="L190" i="18" s="1"/>
  <c r="I96" i="18"/>
  <c r="J96" i="18" s="1"/>
  <c r="L96" i="18" s="1"/>
  <c r="I103" i="18"/>
  <c r="J103" i="18" s="1"/>
  <c r="L103" i="18" s="1"/>
  <c r="I33" i="18"/>
  <c r="J33" i="18" s="1"/>
  <c r="L33" i="18" s="1"/>
  <c r="I121" i="18"/>
  <c r="J121" i="18" s="1"/>
  <c r="L121" i="18" s="1"/>
  <c r="I52" i="18"/>
  <c r="J52" i="18" s="1"/>
  <c r="L52" i="18" s="1"/>
  <c r="I120" i="18"/>
  <c r="J120" i="18" s="1"/>
  <c r="L120" i="18" s="1"/>
  <c r="I141" i="18"/>
  <c r="J141" i="18" s="1"/>
  <c r="L141" i="18" s="1"/>
  <c r="I110" i="18"/>
  <c r="J110" i="18" s="1"/>
  <c r="L110" i="18" s="1"/>
  <c r="I115" i="18"/>
  <c r="J115" i="18" s="1"/>
  <c r="L115" i="18" s="1"/>
  <c r="I37" i="18"/>
  <c r="J37" i="18" s="1"/>
  <c r="L37" i="18" s="1"/>
  <c r="I209" i="18"/>
  <c r="J209" i="18" s="1"/>
  <c r="L209" i="18" s="1"/>
  <c r="I20" i="18"/>
  <c r="J20" i="18" s="1"/>
  <c r="I205" i="18"/>
  <c r="J205" i="18" s="1"/>
  <c r="L205" i="18" s="1"/>
  <c r="I211" i="18"/>
  <c r="J211" i="18" s="1"/>
  <c r="L211" i="18" s="1"/>
  <c r="I150" i="18"/>
  <c r="J150" i="18" s="1"/>
  <c r="L150" i="18" s="1"/>
  <c r="I168" i="18"/>
  <c r="J168" i="18" s="1"/>
  <c r="L168" i="18" s="1"/>
  <c r="I194" i="18"/>
  <c r="J194" i="18" s="1"/>
  <c r="L194" i="18" s="1"/>
  <c r="I101" i="18"/>
  <c r="J101" i="18" s="1"/>
  <c r="L101" i="18" s="1"/>
  <c r="I119" i="18"/>
  <c r="J119" i="18" s="1"/>
  <c r="L119" i="18" s="1"/>
  <c r="I76" i="18"/>
  <c r="J76" i="18" s="1"/>
  <c r="L76" i="18" s="1"/>
  <c r="I139" i="18"/>
  <c r="J139" i="18" s="1"/>
  <c r="L139" i="18" s="1"/>
  <c r="I167" i="18"/>
  <c r="J167" i="18" s="1"/>
  <c r="L167" i="18" s="1"/>
  <c r="I28" i="18"/>
  <c r="J28" i="18" s="1"/>
  <c r="L28" i="18" s="1"/>
  <c r="I106" i="18"/>
  <c r="J106" i="18" s="1"/>
  <c r="L106" i="18" s="1"/>
  <c r="I159" i="18"/>
  <c r="J159" i="18" s="1"/>
  <c r="L159" i="18" s="1"/>
  <c r="I206" i="18"/>
  <c r="J206" i="18" s="1"/>
  <c r="L206" i="18" s="1"/>
  <c r="I165" i="18"/>
  <c r="J165" i="18" s="1"/>
  <c r="L165" i="18" s="1"/>
  <c r="I200" i="18"/>
  <c r="J200" i="18" s="1"/>
  <c r="L200" i="18" s="1"/>
  <c r="I201" i="18"/>
  <c r="J201" i="18" s="1"/>
  <c r="L201" i="18" s="1"/>
  <c r="I45" i="18"/>
  <c r="J45" i="18" s="1"/>
  <c r="L45" i="18" s="1"/>
  <c r="I24" i="18"/>
  <c r="J24" i="18" s="1"/>
  <c r="L24" i="18" s="1"/>
  <c r="I94" i="18"/>
  <c r="J94" i="18" s="1"/>
  <c r="L94" i="18" s="1"/>
  <c r="I147" i="18"/>
  <c r="J147" i="18" s="1"/>
  <c r="L147" i="18" s="1"/>
  <c r="I143" i="18"/>
  <c r="J143" i="18" s="1"/>
  <c r="L143" i="18" s="1"/>
  <c r="I207" i="18"/>
  <c r="J207" i="18" s="1"/>
  <c r="L207" i="18" s="1"/>
  <c r="I126" i="18"/>
  <c r="J126" i="18" s="1"/>
  <c r="L126" i="18" s="1"/>
  <c r="I80" i="18"/>
  <c r="J80" i="18" s="1"/>
  <c r="L80" i="18" s="1"/>
  <c r="I46" i="18"/>
  <c r="J46" i="18" s="1"/>
  <c r="L46" i="18" s="1"/>
  <c r="I93" i="18"/>
  <c r="J93" i="18" s="1"/>
  <c r="L93" i="18" s="1"/>
  <c r="I140" i="18"/>
  <c r="J140" i="18" s="1"/>
  <c r="L140" i="18" s="1"/>
  <c r="I35" i="18"/>
  <c r="J35" i="18" s="1"/>
  <c r="L35" i="18" s="1"/>
  <c r="I122" i="18"/>
  <c r="J122" i="18" s="1"/>
  <c r="L122" i="18" s="1"/>
  <c r="I203" i="18"/>
  <c r="J203" i="18" s="1"/>
  <c r="L203" i="18" s="1"/>
  <c r="I114" i="18"/>
  <c r="J114" i="18" s="1"/>
  <c r="L114" i="18" s="1"/>
  <c r="I154" i="18"/>
  <c r="J154" i="18" s="1"/>
  <c r="L154" i="18" s="1"/>
  <c r="I155" i="18"/>
  <c r="J155" i="18" s="1"/>
  <c r="L155" i="18" s="1"/>
  <c r="J212" i="18" l="1"/>
  <c r="J14" i="18"/>
  <c r="L20" i="18"/>
  <c r="J13" i="18"/>
  <c r="L56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01" i="18"/>
  <c r="N101" i="18" s="1"/>
  <c r="R101" i="18" s="1"/>
  <c r="M29" i="18"/>
  <c r="N29" i="18" s="1"/>
  <c r="R29" i="18" s="1"/>
  <c r="M79" i="18"/>
  <c r="N79" i="18" s="1"/>
  <c r="R79" i="18" s="1"/>
  <c r="M48" i="18"/>
  <c r="N48" i="18" s="1"/>
  <c r="R48" i="18" s="1"/>
  <c r="M177" i="18"/>
  <c r="N177" i="18" s="1"/>
  <c r="R177" i="18" s="1"/>
  <c r="M22" i="18"/>
  <c r="N22" i="18" s="1"/>
  <c r="R22" i="18" s="1"/>
  <c r="M50" i="18"/>
  <c r="N50" i="18" s="1"/>
  <c r="R50" i="18" s="1"/>
  <c r="M130" i="18"/>
  <c r="N130" i="18" s="1"/>
  <c r="R130" i="18" s="1"/>
  <c r="M209" i="18"/>
  <c r="N209" i="18" s="1"/>
  <c r="R209" i="18" s="1"/>
  <c r="M42" i="18"/>
  <c r="N42" i="18" s="1"/>
  <c r="R42" i="18" s="1"/>
  <c r="M127" i="18"/>
  <c r="N127" i="18" s="1"/>
  <c r="R127" i="18" s="1"/>
  <c r="M182" i="18"/>
  <c r="N182" i="18" s="1"/>
  <c r="R182" i="18" s="1"/>
  <c r="M104" i="18"/>
  <c r="N104" i="18" s="1"/>
  <c r="R104" i="18" s="1"/>
  <c r="M162" i="18"/>
  <c r="N162" i="18" s="1"/>
  <c r="R162" i="18" s="1"/>
  <c r="M46" i="18"/>
  <c r="N46" i="18" s="1"/>
  <c r="R46" i="18" s="1"/>
  <c r="M190" i="18"/>
  <c r="N190" i="18" s="1"/>
  <c r="R190" i="18" s="1"/>
  <c r="M193" i="18"/>
  <c r="N193" i="18" s="1"/>
  <c r="R193" i="18" s="1"/>
  <c r="M108" i="18"/>
  <c r="N108" i="18" s="1"/>
  <c r="R108" i="18" s="1"/>
  <c r="M62" i="18"/>
  <c r="N62" i="18" s="1"/>
  <c r="R62" i="18" s="1"/>
  <c r="M33" i="18"/>
  <c r="N33" i="18" s="1"/>
  <c r="R33" i="18" s="1"/>
  <c r="M156" i="18"/>
  <c r="N156" i="18" s="1"/>
  <c r="R156" i="18" s="1"/>
  <c r="M52" i="18"/>
  <c r="N52" i="18" s="1"/>
  <c r="R52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181" i="18"/>
  <c r="N181" i="18" s="1"/>
  <c r="R181" i="18" s="1"/>
  <c r="M80" i="18"/>
  <c r="N80" i="18" s="1"/>
  <c r="R80" i="18" s="1"/>
  <c r="M69" i="18"/>
  <c r="N69" i="18" s="1"/>
  <c r="R69" i="18" s="1"/>
  <c r="M154" i="18"/>
  <c r="N154" i="18" s="1"/>
  <c r="R154" i="18" s="1"/>
  <c r="M43" i="18"/>
  <c r="N43" i="18" s="1"/>
  <c r="R43" i="18" s="1"/>
  <c r="M183" i="18"/>
  <c r="N183" i="18" s="1"/>
  <c r="R183" i="18" s="1"/>
  <c r="M167" i="18"/>
  <c r="N167" i="18" s="1"/>
  <c r="R167" i="18" s="1"/>
  <c r="M86" i="18"/>
  <c r="N86" i="18" s="1"/>
  <c r="R86" i="18" s="1"/>
  <c r="M202" i="18"/>
  <c r="N202" i="18" s="1"/>
  <c r="R202" i="18" s="1"/>
  <c r="M85" i="18"/>
  <c r="N85" i="18" s="1"/>
  <c r="R85" i="18" s="1"/>
  <c r="M171" i="18"/>
  <c r="N171" i="18" s="1"/>
  <c r="R171" i="18" s="1"/>
  <c r="M36" i="18"/>
  <c r="N36" i="18" s="1"/>
  <c r="R36" i="18" s="1"/>
  <c r="M87" i="18"/>
  <c r="N87" i="18" s="1"/>
  <c r="R87" i="18" s="1"/>
  <c r="M93" i="18"/>
  <c r="N93" i="18" s="1"/>
  <c r="R93" i="18" s="1"/>
  <c r="M90" i="18"/>
  <c r="N90" i="18" s="1"/>
  <c r="R90" i="18" s="1"/>
  <c r="M189" i="18"/>
  <c r="N189" i="18" s="1"/>
  <c r="R189" i="18" s="1"/>
  <c r="M96" i="18"/>
  <c r="N96" i="18" s="1"/>
  <c r="R96" i="18" s="1"/>
  <c r="M23" i="18"/>
  <c r="N23" i="18" s="1"/>
  <c r="R23" i="18" s="1"/>
  <c r="M30" i="18"/>
  <c r="N30" i="18" s="1"/>
  <c r="R30" i="18" s="1"/>
  <c r="M24" i="18"/>
  <c r="N24" i="18" s="1"/>
  <c r="R24" i="18" s="1"/>
  <c r="M110" i="18"/>
  <c r="N110" i="18" s="1"/>
  <c r="R110" i="18" s="1"/>
  <c r="M54" i="18"/>
  <c r="N54" i="18" s="1"/>
  <c r="R54" i="18" s="1"/>
  <c r="M34" i="18"/>
  <c r="N34" i="18" s="1"/>
  <c r="R34" i="18" s="1"/>
  <c r="M201" i="18"/>
  <c r="N201" i="18" s="1"/>
  <c r="R201" i="18" s="1"/>
  <c r="M203" i="18"/>
  <c r="N203" i="18" s="1"/>
  <c r="R203" i="18" s="1"/>
  <c r="M77" i="18"/>
  <c r="N77" i="18" s="1"/>
  <c r="R77" i="18" s="1"/>
  <c r="M128" i="18"/>
  <c r="N128" i="18" s="1"/>
  <c r="R128" i="18" s="1"/>
  <c r="M166" i="18"/>
  <c r="N166" i="18" s="1"/>
  <c r="R166" i="18" s="1"/>
  <c r="M142" i="18"/>
  <c r="N142" i="18" s="1"/>
  <c r="R142" i="18" s="1"/>
  <c r="M32" i="18"/>
  <c r="N32" i="18" s="1"/>
  <c r="R32" i="18" s="1"/>
  <c r="M106" i="18"/>
  <c r="N106" i="18" s="1"/>
  <c r="R106" i="18" s="1"/>
  <c r="M151" i="18"/>
  <c r="N151" i="18" s="1"/>
  <c r="R151" i="18" s="1"/>
  <c r="M175" i="18"/>
  <c r="N175" i="18" s="1"/>
  <c r="R175" i="18" s="1"/>
  <c r="M205" i="18"/>
  <c r="N205" i="18" s="1"/>
  <c r="R205" i="18" s="1"/>
  <c r="M159" i="18"/>
  <c r="N159" i="18" s="1"/>
  <c r="R159" i="18" s="1"/>
  <c r="M105" i="18"/>
  <c r="N105" i="18" s="1"/>
  <c r="R105" i="18" s="1"/>
  <c r="M47" i="18"/>
  <c r="N47" i="18" s="1"/>
  <c r="R47" i="18" s="1"/>
  <c r="M89" i="18"/>
  <c r="N89" i="18" s="1"/>
  <c r="R89" i="18" s="1"/>
  <c r="M99" i="18"/>
  <c r="N99" i="18" s="1"/>
  <c r="R99" i="18" s="1"/>
  <c r="M138" i="18"/>
  <c r="N138" i="18" s="1"/>
  <c r="R138" i="18" s="1"/>
  <c r="M53" i="18"/>
  <c r="N53" i="18" s="1"/>
  <c r="R53" i="18" s="1"/>
  <c r="M144" i="18"/>
  <c r="N144" i="18" s="1"/>
  <c r="R144" i="18" s="1"/>
  <c r="M147" i="18"/>
  <c r="N147" i="18" s="1"/>
  <c r="R147" i="18" s="1"/>
  <c r="M111" i="18"/>
  <c r="N111" i="18" s="1"/>
  <c r="R111" i="18" s="1"/>
  <c r="M116" i="18"/>
  <c r="N116" i="18" s="1"/>
  <c r="R116" i="18" s="1"/>
  <c r="M71" i="18"/>
  <c r="N71" i="18" s="1"/>
  <c r="R71" i="18" s="1"/>
  <c r="M152" i="18"/>
  <c r="N152" i="18" s="1"/>
  <c r="R152" i="18" s="1"/>
  <c r="M57" i="18"/>
  <c r="N57" i="18" s="1"/>
  <c r="R57" i="18" s="1"/>
  <c r="M163" i="18"/>
  <c r="N163" i="18" s="1"/>
  <c r="R163" i="18" s="1"/>
  <c r="M39" i="18"/>
  <c r="N39" i="18" s="1"/>
  <c r="R39" i="18" s="1"/>
  <c r="M158" i="18"/>
  <c r="N158" i="18" s="1"/>
  <c r="R158" i="18" s="1"/>
  <c r="M49" i="18"/>
  <c r="N49" i="18" s="1"/>
  <c r="R49" i="18" s="1"/>
  <c r="M44" i="18"/>
  <c r="N44" i="18" s="1"/>
  <c r="R44" i="18" s="1"/>
  <c r="M61" i="18"/>
  <c r="N61" i="18" s="1"/>
  <c r="R61" i="18" s="1"/>
  <c r="M70" i="18"/>
  <c r="N70" i="18" s="1"/>
  <c r="R70" i="18" s="1"/>
  <c r="M28" i="18"/>
  <c r="N28" i="18" s="1"/>
  <c r="R28" i="18" s="1"/>
  <c r="M67" i="18"/>
  <c r="N67" i="18" s="1"/>
  <c r="R67" i="18" s="1"/>
  <c r="M168" i="18"/>
  <c r="N168" i="18" s="1"/>
  <c r="R168" i="18" s="1"/>
  <c r="M76" i="18"/>
  <c r="N76" i="18" s="1"/>
  <c r="R76" i="18" s="1"/>
  <c r="M66" i="18"/>
  <c r="N66" i="18" s="1"/>
  <c r="R66" i="18" s="1"/>
  <c r="M38" i="18"/>
  <c r="N38" i="18" s="1"/>
  <c r="R38" i="18" s="1"/>
  <c r="M91" i="18"/>
  <c r="N91" i="18" s="1"/>
  <c r="R91" i="18" s="1"/>
  <c r="M176" i="18"/>
  <c r="N176" i="18" s="1"/>
  <c r="R176" i="18" s="1"/>
  <c r="M63" i="18"/>
  <c r="N63" i="18" s="1"/>
  <c r="R63" i="18" s="1"/>
  <c r="M119" i="18"/>
  <c r="N119" i="18" s="1"/>
  <c r="R119" i="18" s="1"/>
  <c r="M208" i="18"/>
  <c r="N208" i="18" s="1"/>
  <c r="R208" i="18" s="1"/>
  <c r="M186" i="18"/>
  <c r="N186" i="18" s="1"/>
  <c r="R186" i="18" s="1"/>
  <c r="M60" i="18"/>
  <c r="N60" i="18" s="1"/>
  <c r="R60" i="18" s="1"/>
  <c r="M195" i="18"/>
  <c r="N195" i="18" s="1"/>
  <c r="R195" i="18" s="1"/>
  <c r="M25" i="18"/>
  <c r="N25" i="18" s="1"/>
  <c r="R25" i="18" s="1"/>
  <c r="M74" i="18"/>
  <c r="N74" i="18" s="1"/>
  <c r="R74" i="18" s="1"/>
  <c r="M20" i="18"/>
  <c r="M139" i="18"/>
  <c r="N139" i="18" s="1"/>
  <c r="R139" i="18" s="1"/>
  <c r="M153" i="18"/>
  <c r="N153" i="18" s="1"/>
  <c r="R153" i="18" s="1"/>
  <c r="M84" i="18"/>
  <c r="N84" i="18" s="1"/>
  <c r="R84" i="18" s="1"/>
  <c r="M188" i="18"/>
  <c r="N188" i="18" s="1"/>
  <c r="R188" i="18" s="1"/>
  <c r="M59" i="18"/>
  <c r="N59" i="18" s="1"/>
  <c r="R59" i="18" s="1"/>
  <c r="M121" i="18"/>
  <c r="N121" i="18" s="1"/>
  <c r="R121" i="18" s="1"/>
  <c r="M51" i="18"/>
  <c r="N51" i="18" s="1"/>
  <c r="R51" i="18" s="1"/>
  <c r="M55" i="18"/>
  <c r="N55" i="18" s="1"/>
  <c r="R55" i="18" s="1"/>
  <c r="M141" i="18"/>
  <c r="N141" i="18" s="1"/>
  <c r="R141" i="18" s="1"/>
  <c r="M31" i="18"/>
  <c r="N31" i="18" s="1"/>
  <c r="R31" i="18" s="1"/>
  <c r="M118" i="18"/>
  <c r="N118" i="18" s="1"/>
  <c r="R118" i="18" s="1"/>
  <c r="M179" i="18"/>
  <c r="N179" i="18" s="1"/>
  <c r="R179" i="18" s="1"/>
  <c r="M131" i="18"/>
  <c r="N131" i="18" s="1"/>
  <c r="R131" i="18" s="1"/>
  <c r="M100" i="18"/>
  <c r="N100" i="18" s="1"/>
  <c r="R100" i="18" s="1"/>
  <c r="M81" i="18"/>
  <c r="N81" i="18" s="1"/>
  <c r="R81" i="18" s="1"/>
  <c r="M123" i="18"/>
  <c r="N123" i="18" s="1"/>
  <c r="R12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<sst xmlns="http://schemas.openxmlformats.org/spreadsheetml/2006/main" count="422" uniqueCount="104">
  <si>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</si>
  <si>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</si>
  <si>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</si>
  <si>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</si>
  <si>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</si>
  <si>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</si>
  <si>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</si>
  <si>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</si>
  <si>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</si>
  <si>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</si>
  <si>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</si>
  <si>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</si>
  <si>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</si>
  <si>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</si>
  <si>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</si>
  <si>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</si>
  <si>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</si>
  <si>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</si>
  <si>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</si>
  <si>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</si>
  <si>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</si>
  <si>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</si>
  <si>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</si>
  <si>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</si>
  <si>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</si>
  <si>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</si>
  <si>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</si>
  <si>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</si>
  <si>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</si>
  <si>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</si>
  <si>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</si>
  <si>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</si>
  <si>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</si>
  <si>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</si>
  <si>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</si>
  <si>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</si>
  <si>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</si>
  <si>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</si>
  <si>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</si>
  <si>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</si>
  <si>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</si>
  <si>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</si>
  <si>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</si>
  <si>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</si>
  <si>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</si>
  <si>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</si>
  <si>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</si>
  <si>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</si>
  <si>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</si>
  <si>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</si>
  <si>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</si>
  <si>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</si>
  <si>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</si>
  <si>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</si>
  <si>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</si>
  <si>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</si>
  <si>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</si>
  <si>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</si>
  <si>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</si>
  <si>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</si>
  <si>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</si>
  <si>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</si>
  <si>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</si>
  <si>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</si>
  <si>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</si>
  <si>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</si>
  <si>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</si>
  <si>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</si>
  <si>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</si>
  <si>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</si>
  <si>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</si>
  <si>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</si>
  <si>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</si>
  <si>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</si>
  <si>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</si>
  <si>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</si>
  <si>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</si>
  <si>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</si>
  <si>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</si>
  <si>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</si>
  <si>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</si>
  <si>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</si>
  <si>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</si>
  <si>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</si>
  <si>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</si>
  <si>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</si>
  <si>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</si>
  <si>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</si>
  <si>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</si>
  <si>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</si>
  <si>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</si>
  <si>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</si>
  <si>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</si>
  <si>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</si>
  <si>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</si>
  <si>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</si>
  <si>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</si>
  <si>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</si>
  <si>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</si>
  <si>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</si>
  <si>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Total NITS Surcharge / Refund</t>
  </si>
  <si>
    <t>Network Customer True-Up (Schedule 1 charges)</t>
  </si>
  <si>
    <t xml:space="preserve">    &lt;&lt; SOUTHWESTERN TRANSMISSION COMPANY &gt;&gt;</t>
  </si>
  <si>
    <t>2021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</si>
</sst>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quotePrefix="1" applyFont="1" applyBorder="1" applyAlignment="1" applyProtection="1">
      <alignment horizontal="center" vertical="center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167" fontId="7" fillId="6" borderId="26" xfId="0" applyNumberFormat="1" applyFont="1" applyFill="1" applyBorder="1" applyAlignment="1" applyProtection="1">
      <alignment horizontal="center"/>
    </xf>
    <xf numFmtId="0" fontId="4" fillId="7" borderId="24" xfId="0" applyFont="1" applyFill="1" applyBorder="1" applyAlignment="1" applyProtection="1">
      <alignment horizontal="center" vertical="center"/>
    </xf>
    <xf numFmtId="164" fontId="4" fillId="7" borderId="24" xfId="0" quotePrefix="1" applyNumberFormat="1" applyFont="1" applyFill="1" applyBorder="1" applyAlignment="1" applyProtection="1">
      <alignment horizontal="center" vertical="center" wrapText="1"/>
    </xf>
    <xf numFmtId="164" fontId="5" fillId="7" borderId="0" xfId="0" applyNumberFormat="1" applyFont="1" applyFill="1" applyBorder="1" applyAlignment="1" applyProtection="1">
      <alignment horizontal="center"/>
    </xf>
    <xf numFmtId="164" fontId="4" fillId="7" borderId="14" xfId="0" quotePrefix="1" applyNumberFormat="1" applyFont="1" applyFill="1" applyBorder="1" applyAlignment="1" applyProtection="1">
      <alignment horizontal="center" wrapText="1"/>
    </xf>
    <xf numFmtId="164" fontId="4" fillId="8" borderId="14" xfId="0" quotePrefix="1" applyNumberFormat="1" applyFont="1" applyFill="1" applyBorder="1" applyAlignment="1" applyProtection="1">
      <alignment horizont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08.717970370373" createdVersion="6" refreshedVersion="7" recordCount="192" xr:uid="{00000000-000A-0000-FFFF-FFFFA2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3.0958330474702616E-4" maxValue="3.0958330474702616E-4"/>
    </cacheField>
    <cacheField name="Actual True-Up Rate" numFmtId="164">
      <sharedItems containsSemiMixedTypes="0" containsString="0" containsNumber="1" minValue="5.1131360104153957E-4" maxValue="5.1131360104153957E-4"/>
    </cacheField>
    <cacheField name="True-Up Charge" numFmtId="164">
      <sharedItems containsSemiMixedTypes="0" containsString="0" containsNumber="1" minValue="5.1131360104153957E-4" maxValue="2.0600824985963628"/>
    </cacheField>
    <cacheField name="Invoiced*** Charge (proj.)" numFmtId="164">
      <sharedItems containsSemiMixedTypes="0" containsString="0" containsNumber="1" minValue="3.0958330474702616E-4" maxValue="1.2473111348257684"/>
    </cacheField>
    <cacheField name="True-Up w/o Interest" numFmtId="164">
      <sharedItems containsSemiMixedTypes="0" containsString="0" containsNumber="1" minValue="2.017302962945134E-4" maxValue="0.81277136377059445"/>
    </cacheField>
    <cacheField name="Interest" numFmtId="164">
      <sharedItems containsSemiMixedTypes="0" containsString="0" containsNumber="1" minValue="7.2037050412565368E-6" maxValue="2.9023727611222589E-2"/>
    </cacheField>
    <cacheField name="2021 True Up Including Interest" numFmtId="164">
      <sharedItems containsSemiMixedTypes="0" containsString="0" containsNumber="1" minValue="2.0893400133576993E-4" maxValue="0.8417950913818170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2.0893400133576993E-4" maxValue="0.841795091381817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3.0958330474702616E-4"/>
    <n v="5.1131360104153957E-4"/>
    <n v="1.2966912922413443"/>
    <n v="0.78510326083845838"/>
    <n v="0.51158803140288589"/>
    <n v="1.8268595984626577E-2"/>
    <n v="0.52985662738751249"/>
    <n v="0"/>
    <n v="0"/>
    <n v="0"/>
    <n v="0.52985662738751249"/>
  </r>
  <r>
    <x v="1"/>
    <d v="2021-03-03T00:00:00"/>
    <d v="2021-03-24T00:00:00"/>
    <x v="0"/>
    <n v="9"/>
    <n v="2976"/>
    <n v="3.0958330474702616E-4"/>
    <n v="5.1131360104153957E-4"/>
    <n v="1.5216692766996218"/>
    <n v="0.92131991492714982"/>
    <n v="0.600349361772472"/>
    <n v="2.1438226202779454E-2"/>
    <n v="0.62178758797525147"/>
    <n v="0"/>
    <n v="0"/>
    <n v="0"/>
    <n v="0.62178758797525147"/>
  </r>
  <r>
    <x v="2"/>
    <d v="2021-04-05T00:00:00"/>
    <d v="2021-04-26T00:00:00"/>
    <x v="0"/>
    <n v="9"/>
    <n v="2203"/>
    <n v="3.0958330474702616E-4"/>
    <n v="5.1131360104153957E-4"/>
    <n v="1.1264238630945116"/>
    <n v="0.68201202035769859"/>
    <n v="0.444411842736813"/>
    <n v="1.5869762205888153E-2"/>
    <n v="0.46028160494270115"/>
    <n v="0"/>
    <n v="0"/>
    <n v="0"/>
    <n v="0.46028160494270115"/>
  </r>
  <r>
    <x v="3"/>
    <d v="2021-05-05T00:00:00"/>
    <d v="2021-05-24T00:00:00"/>
    <x v="0"/>
    <n v="9"/>
    <n v="2146"/>
    <n v="3.0958330474702616E-4"/>
    <n v="5.1131360104153957E-4"/>
    <n v="1.0972789878351439"/>
    <n v="0.6643657719871181"/>
    <n v="0.43291321584802578"/>
    <n v="1.5459151018536529E-2"/>
    <n v="0.44837236686656229"/>
    <n v="0"/>
    <n v="0"/>
    <n v="0"/>
    <n v="0.44837236686656229"/>
  </r>
  <r>
    <x v="4"/>
    <d v="2021-06-03T00:00:00"/>
    <d v="2021-06-24T00:00:00"/>
    <x v="0"/>
    <n v="9"/>
    <n v="2961"/>
    <n v="3.0958330474702616E-4"/>
    <n v="5.1131360104153957E-4"/>
    <n v="1.5139995726839988"/>
    <n v="0.91667616535594443"/>
    <n v="0.59732340732805433"/>
    <n v="2.1330170627160607E-2"/>
    <n v="0.61865357795521492"/>
    <n v="0"/>
    <n v="0"/>
    <n v="0"/>
    <n v="0.61865357795521492"/>
  </r>
  <r>
    <x v="5"/>
    <d v="2021-07-06T00:00:00"/>
    <d v="2021-07-24T00:00:00"/>
    <x v="0"/>
    <n v="9"/>
    <n v="3827"/>
    <n v="3.0958330474702616E-4"/>
    <n v="5.1131360104153957E-4"/>
    <n v="1.9567971511859719"/>
    <n v="1.1847753072668692"/>
    <n v="0.77202184391910267"/>
    <n v="2.7568579192888767E-2"/>
    <n v="0.79959042311199147"/>
    <n v="0"/>
    <n v="0"/>
    <n v="0"/>
    <n v="0.79959042311199147"/>
  </r>
  <r>
    <x v="6"/>
    <d v="2021-08-04T00:00:00"/>
    <d v="2021-08-24T00:00:00"/>
    <x v="0"/>
    <n v="9"/>
    <n v="3938"/>
    <n v="3.0958330474702616E-4"/>
    <n v="5.1131360104153957E-4"/>
    <n v="2.013552960901583"/>
    <n v="1.219139054093789"/>
    <n v="0.794413906807794"/>
    <n v="2.8368190452468241E-2"/>
    <n v="0.82278209726026219"/>
    <n v="0"/>
    <n v="0"/>
    <n v="0"/>
    <n v="0.82278209726026219"/>
  </r>
  <r>
    <x v="7"/>
    <d v="2021-09-03T00:00:00"/>
    <d v="2021-09-24T00:00:00"/>
    <x v="0"/>
    <n v="9"/>
    <n v="4002"/>
    <n v="3.0958330474702616E-4"/>
    <n v="5.1131360104153957E-4"/>
    <n v="2.0462770313682412"/>
    <n v="1.2389523855975988"/>
    <n v="0.80732464577064245"/>
    <n v="2.8829227575108661E-2"/>
    <n v="0.83615387334575109"/>
    <n v="0"/>
    <n v="0"/>
    <n v="0"/>
    <n v="0.83615387334575109"/>
  </r>
  <r>
    <x v="8"/>
    <d v="2021-10-05T00:00:00"/>
    <d v="2021-10-25T00:00:00"/>
    <x v="0"/>
    <n v="9"/>
    <n v="4029"/>
    <n v="3.0958330474702616E-4"/>
    <n v="5.1131360104153957E-4"/>
    <n v="2.0600824985963628"/>
    <n v="1.2473111348257684"/>
    <n v="0.81277136377059445"/>
    <n v="2.9023727611222589E-2"/>
    <n v="0.84179509138181707"/>
    <n v="0"/>
    <n v="0"/>
    <n v="0"/>
    <n v="0.84179509138181707"/>
  </r>
  <r>
    <x v="9"/>
    <d v="2021-11-03T00:00:00"/>
    <d v="2021-11-24T00:00:00"/>
    <x v="0"/>
    <n v="9"/>
    <n v="3123"/>
    <n v="3.0958330474702616E-4"/>
    <n v="5.1131360104153957E-4"/>
    <n v="1.5968323760527281"/>
    <n v="0.96682866072496276"/>
    <n v="0.63000371532776533"/>
    <n v="2.2497170843844169E-2"/>
    <n v="0.65250088617160951"/>
    <n v="0"/>
    <n v="0"/>
    <n v="0"/>
    <n v="0.65250088617160951"/>
  </r>
  <r>
    <x v="10"/>
    <d v="2021-12-03T00:00:00"/>
    <d v="2021-12-27T00:00:00"/>
    <x v="0"/>
    <n v="9"/>
    <n v="2263"/>
    <n v="3.0958330474702616E-4"/>
    <n v="5.1131360104153957E-4"/>
    <n v="1.157102679157004"/>
    <n v="0.70058701864252027"/>
    <n v="0.45651566051448378"/>
    <n v="1.6301984508363544E-2"/>
    <n v="0.47281764502284734"/>
    <n v="0"/>
    <n v="0"/>
    <n v="0"/>
    <n v="0.47281764502284734"/>
  </r>
  <r>
    <x v="11"/>
    <d v="2022-01-05T00:00:00"/>
    <d v="2022-01-24T00:00:00"/>
    <x v="0"/>
    <n v="9"/>
    <n v="2379"/>
    <n v="3.0958330474702616E-4"/>
    <n v="5.1131360104153957E-4"/>
    <n v="1.2164150568778227"/>
    <n v="0.73649868199317525"/>
    <n v="0.47991637488464745"/>
    <n v="1.7137614293149302E-2"/>
    <n v="0.49705398917779675"/>
    <n v="0"/>
    <n v="0"/>
    <n v="0"/>
    <n v="0.49705398917779675"/>
  </r>
  <r>
    <x v="0"/>
    <d v="2021-02-03T00:00:00"/>
    <d v="2021-02-24T00:00:00"/>
    <x v="1"/>
    <n v="9"/>
    <n v="2771"/>
    <n v="3.0958330474702616E-4"/>
    <n v="5.1131360104153957E-4"/>
    <n v="1.4168499884861061"/>
    <n v="0.85785533745400955"/>
    <n v="0.55899465103209656"/>
    <n v="1.9961466669321866E-2"/>
    <n v="0.57895611770141842"/>
    <n v="0"/>
    <n v="0"/>
    <n v="0"/>
    <n v="0.57895611770141842"/>
  </r>
  <r>
    <x v="1"/>
    <d v="2021-03-03T00:00:00"/>
    <d v="2021-03-24T00:00:00"/>
    <x v="1"/>
    <n v="9"/>
    <n v="3136"/>
    <n v="3.0958330474702616E-4"/>
    <n v="5.1131360104153957E-4"/>
    <n v="1.6034794528662681"/>
    <n v="0.97085324368667403"/>
    <n v="0.63262620917959411"/>
    <n v="2.2590819009380501E-2"/>
    <n v="0.65521702818897465"/>
    <n v="0"/>
    <n v="0"/>
    <n v="0"/>
    <n v="0.65521702818897465"/>
  </r>
  <r>
    <x v="2"/>
    <d v="2021-04-05T00:00:00"/>
    <d v="2021-04-26T00:00:00"/>
    <x v="1"/>
    <n v="9"/>
    <n v="2339"/>
    <n v="3.0958330474702616E-4"/>
    <n v="5.1131360104153957E-4"/>
    <n v="1.1959625128361611"/>
    <n v="0.72411534980329417"/>
    <n v="0.47184716303286689"/>
    <n v="1.6849466091499041E-2"/>
    <n v="0.48869662912436596"/>
    <n v="0"/>
    <n v="0"/>
    <n v="0"/>
    <n v="0.48869662912436596"/>
  </r>
  <r>
    <x v="3"/>
    <d v="2021-05-05T00:00:00"/>
    <d v="2021-05-24T00:00:00"/>
    <x v="1"/>
    <n v="9"/>
    <n v="2394"/>
    <n v="3.0958330474702616E-4"/>
    <n v="5.1131360104153957E-4"/>
    <n v="1.2240847608934458"/>
    <n v="0.74114243156438064"/>
    <n v="0.48294232932906511"/>
    <n v="1.7245669868768149E-2"/>
    <n v="0.5001879991978333"/>
    <n v="0"/>
    <n v="0"/>
    <n v="0"/>
    <n v="0.5001879991978333"/>
  </r>
  <r>
    <x v="4"/>
    <d v="2021-06-03T00:00:00"/>
    <d v="2021-06-24T00:00:00"/>
    <x v="1"/>
    <n v="9"/>
    <n v="2807"/>
    <n v="3.0958330474702616E-4"/>
    <n v="5.1131360104153957E-4"/>
    <n v="1.4352572781236015"/>
    <n v="0.86900033642490249"/>
    <n v="0.566256941698699"/>
    <n v="2.0220800050807099E-2"/>
    <n v="0.58647774174950607"/>
    <n v="0"/>
    <n v="0"/>
    <n v="0"/>
    <n v="0.58647774174950607"/>
  </r>
  <r>
    <x v="5"/>
    <d v="2021-07-06T00:00:00"/>
    <d v="2021-07-24T00:00:00"/>
    <x v="1"/>
    <n v="9"/>
    <n v="3345"/>
    <n v="3.0958330474702616E-4"/>
    <n v="5.1131360104153957E-4"/>
    <n v="1.7103439954839499"/>
    <n v="1.0355561543788026"/>
    <n v="0.67478784110514733"/>
    <n v="2.4096393363003118E-2"/>
    <n v="0.6988842344681504"/>
    <n v="0"/>
    <n v="0"/>
    <n v="0"/>
    <n v="0.6988842344681504"/>
  </r>
  <r>
    <x v="6"/>
    <d v="2021-08-04T00:00:00"/>
    <d v="2021-08-24T00:00:00"/>
    <x v="1"/>
    <n v="9"/>
    <n v="3525"/>
    <n v="3.0958330474702616E-4"/>
    <n v="5.1131360104153957E-4"/>
    <n v="1.802380443671427"/>
    <n v="1.0912811492332672"/>
    <n v="0.71109929443815978"/>
    <n v="2.5393060270429292E-2"/>
    <n v="0.73649235470858909"/>
    <n v="0"/>
    <n v="0"/>
    <n v="0"/>
    <n v="0.73649235470858909"/>
  </r>
  <r>
    <x v="7"/>
    <d v="2021-09-03T00:00:00"/>
    <d v="2021-09-24T00:00:00"/>
    <x v="1"/>
    <n v="9"/>
    <n v="3514"/>
    <n v="3.0958330474702616E-4"/>
    <n v="5.1131360104153957E-4"/>
    <n v="1.79675599405997"/>
    <n v="1.08787573288105"/>
    <n v="0.70888026117892"/>
    <n v="2.531381951497547E-2"/>
    <n v="0.73419408069389547"/>
    <n v="0"/>
    <n v="0"/>
    <n v="0"/>
    <n v="0.73419408069389547"/>
  </r>
  <r>
    <x v="8"/>
    <d v="2021-10-05T00:00:00"/>
    <d v="2021-10-25T00:00:00"/>
    <x v="1"/>
    <n v="9"/>
    <n v="3486"/>
    <n v="3.0958330474702616E-4"/>
    <n v="5.1131360104153957E-4"/>
    <n v="1.7824392132308069"/>
    <n v="1.0792074003481331"/>
    <n v="0.70323181288267378"/>
    <n v="2.511211577382029E-2"/>
    <n v="0.72834392865649411"/>
    <n v="0"/>
    <n v="0"/>
    <n v="0"/>
    <n v="0.72834392865649411"/>
  </r>
  <r>
    <x v="9"/>
    <d v="2021-11-03T00:00:00"/>
    <d v="2021-11-24T00:00:00"/>
    <x v="1"/>
    <n v="9"/>
    <n v="2777"/>
    <n v="3.0958330474702616E-4"/>
    <n v="5.1131360104153957E-4"/>
    <n v="1.4199178700923554"/>
    <n v="0.8597128372824917"/>
    <n v="0.56020503280986367"/>
    <n v="2.0004688899569405E-2"/>
    <n v="0.58020972170943308"/>
    <n v="0"/>
    <n v="0"/>
    <n v="0"/>
    <n v="0.58020972170943308"/>
  </r>
  <r>
    <x v="10"/>
    <d v="2021-12-03T00:00:00"/>
    <d v="2021-12-27T00:00:00"/>
    <x v="1"/>
    <n v="9"/>
    <n v="2284"/>
    <n v="3.0958330474702616E-4"/>
    <n v="5.1131360104153957E-4"/>
    <n v="1.1678402647788764"/>
    <n v="0.70708826804220781"/>
    <n v="0.46075199673666856"/>
    <n v="1.645326231422993E-2"/>
    <n v="0.4772052590508985"/>
    <n v="0"/>
    <n v="0"/>
    <n v="0"/>
    <n v="0.4772052590508985"/>
  </r>
  <r>
    <x v="11"/>
    <d v="2022-01-05T00:00:00"/>
    <d v="2022-01-24T00:00:00"/>
    <x v="1"/>
    <n v="9"/>
    <n v="2425"/>
    <n v="3.0958330474702616E-4"/>
    <n v="5.1131360104153957E-4"/>
    <n v="1.2399354825257334"/>
    <n v="0.75073951401153849"/>
    <n v="0.48919596851419489"/>
    <n v="1.7468984725047102E-2"/>
    <n v="0.50666495323924199"/>
    <n v="0"/>
    <n v="0"/>
    <n v="0"/>
    <n v="0.50666495323924199"/>
  </r>
  <r>
    <x v="0"/>
    <d v="2021-02-03T00:00:00"/>
    <d v="2021-02-24T00:00:00"/>
    <x v="2"/>
    <n v="9"/>
    <n v="146"/>
    <n v="3.0958330474702616E-4"/>
    <n v="5.1131360104153957E-4"/>
    <n v="7.465178575206477E-2"/>
    <n v="4.5199162493065818E-2"/>
    <n v="2.9452623258998951E-2"/>
    <n v="1.0517409360234545E-3"/>
    <n v="3.0504364195022407E-2"/>
    <n v="0"/>
    <n v="0"/>
    <n v="0"/>
    <n v="3.0504364195022407E-2"/>
  </r>
  <r>
    <x v="1"/>
    <d v="2021-03-03T00:00:00"/>
    <d v="2021-03-24T00:00:00"/>
    <x v="2"/>
    <n v="9"/>
    <n v="212"/>
    <n v="3.0958330474702616E-4"/>
    <n v="5.1131360104153957E-4"/>
    <n v="0.10839848342080639"/>
    <n v="6.5631660606369546E-2"/>
    <n v="4.2766822814436847E-2"/>
    <n v="1.527185468746386E-3"/>
    <n v="4.4294008283183237E-2"/>
    <n v="0"/>
    <n v="0"/>
    <n v="0"/>
    <n v="4.4294008283183237E-2"/>
  </r>
  <r>
    <x v="2"/>
    <d v="2021-04-05T00:00:00"/>
    <d v="2021-04-26T00:00:00"/>
    <x v="2"/>
    <n v="9"/>
    <n v="125"/>
    <n v="3.0958330474702616E-4"/>
    <n v="5.1131360104153957E-4"/>
    <n v="6.3914200130192445E-2"/>
    <n v="3.8697913093378271E-2"/>
    <n v="2.5216287036814174E-2"/>
    <n v="9.0046313015706709E-4"/>
    <n v="2.611675016697124E-2"/>
    <n v="0"/>
    <n v="0"/>
    <n v="0"/>
    <n v="2.611675016697124E-2"/>
  </r>
  <r>
    <x v="3"/>
    <d v="2021-05-05T00:00:00"/>
    <d v="2021-05-24T00:00:00"/>
    <x v="2"/>
    <n v="9"/>
    <n v="92"/>
    <n v="3.0958330474702616E-4"/>
    <n v="5.1131360104153957E-4"/>
    <n v="4.704085129582164E-2"/>
    <n v="2.8481664036726407E-2"/>
    <n v="1.8559187259095233E-2"/>
    <n v="6.6274086379560144E-4"/>
    <n v="1.9221928122890836E-2"/>
    <n v="0"/>
    <n v="0"/>
    <n v="0"/>
    <n v="1.9221928122890836E-2"/>
  </r>
  <r>
    <x v="4"/>
    <d v="2021-06-03T00:00:00"/>
    <d v="2021-06-24T00:00:00"/>
    <x v="2"/>
    <n v="9"/>
    <n v="102"/>
    <n v="3.0958330474702616E-4"/>
    <n v="5.1131360104153957E-4"/>
    <n v="5.2153987306237035E-2"/>
    <n v="3.1577497084196667E-2"/>
    <n v="2.0576490222040368E-2"/>
    <n v="7.3477791420816689E-4"/>
    <n v="2.1311268136248535E-2"/>
    <n v="0"/>
    <n v="0"/>
    <n v="0"/>
    <n v="2.1311268136248535E-2"/>
  </r>
  <r>
    <x v="5"/>
    <d v="2021-07-06T00:00:00"/>
    <d v="2021-07-24T00:00:00"/>
    <x v="2"/>
    <n v="9"/>
    <n v="124"/>
    <n v="3.0958330474702616E-4"/>
    <n v="5.1131360104153957E-4"/>
    <n v="6.3402886529150909E-2"/>
    <n v="3.8388329788631242E-2"/>
    <n v="2.5014556740519667E-2"/>
    <n v="8.9325942511581059E-4"/>
    <n v="2.5907816165635478E-2"/>
    <n v="0"/>
    <n v="0"/>
    <n v="0"/>
    <n v="2.5907816165635478E-2"/>
  </r>
  <r>
    <x v="6"/>
    <d v="2021-08-04T00:00:00"/>
    <d v="2021-08-24T00:00:00"/>
    <x v="2"/>
    <n v="9"/>
    <n v="138"/>
    <n v="3.0958330474702616E-4"/>
    <n v="5.1131360104153957E-4"/>
    <n v="7.0561276943732459E-2"/>
    <n v="4.2722496055089612E-2"/>
    <n v="2.7838780888642847E-2"/>
    <n v="9.9411129569340227E-4"/>
    <n v="2.883289218433625E-2"/>
    <n v="0"/>
    <n v="0"/>
    <n v="0"/>
    <n v="2.883289218433625E-2"/>
  </r>
  <r>
    <x v="7"/>
    <d v="2021-09-03T00:00:00"/>
    <d v="2021-09-24T00:00:00"/>
    <x v="2"/>
    <n v="9"/>
    <n v="140"/>
    <n v="3.0958330474702616E-4"/>
    <n v="5.1131360104153957E-4"/>
    <n v="7.1583904145815544E-2"/>
    <n v="4.3341662664583662E-2"/>
    <n v="2.8242241481231882E-2"/>
    <n v="1.0085187057759153E-3"/>
    <n v="2.9250760187007799E-2"/>
    <n v="0"/>
    <n v="0"/>
    <n v="0"/>
    <n v="2.9250760187007799E-2"/>
  </r>
  <r>
    <x v="8"/>
    <d v="2021-10-05T00:00:00"/>
    <d v="2021-10-25T00:00:00"/>
    <x v="2"/>
    <n v="9"/>
    <n v="140"/>
    <n v="3.0958330474702616E-4"/>
    <n v="5.1131360104153957E-4"/>
    <n v="7.1583904145815544E-2"/>
    <n v="4.3341662664583662E-2"/>
    <n v="2.8242241481231882E-2"/>
    <n v="1.0085187057759153E-3"/>
    <n v="2.9250760187007799E-2"/>
    <n v="0"/>
    <n v="0"/>
    <n v="0"/>
    <n v="2.9250760187007799E-2"/>
  </r>
  <r>
    <x v="9"/>
    <d v="2021-11-03T00:00:00"/>
    <d v="2021-11-24T00:00:00"/>
    <x v="2"/>
    <n v="9"/>
    <n v="106"/>
    <n v="3.0958330474702616E-4"/>
    <n v="5.1131360104153957E-4"/>
    <n v="5.4199241710403197E-2"/>
    <n v="3.2815830303184773E-2"/>
    <n v="2.1383411407218424E-2"/>
    <n v="7.6359273437319301E-4"/>
    <n v="2.2147004141591618E-2"/>
    <n v="0"/>
    <n v="0"/>
    <n v="0"/>
    <n v="2.2147004141591618E-2"/>
  </r>
  <r>
    <x v="10"/>
    <d v="2021-12-03T00:00:00"/>
    <d v="2021-12-27T00:00:00"/>
    <x v="2"/>
    <n v="9"/>
    <n v="107"/>
    <n v="3.0958330474702616E-4"/>
    <n v="5.1131360104153957E-4"/>
    <n v="5.4710555311444732E-2"/>
    <n v="3.3125413607931802E-2"/>
    <n v="2.1585141703512931E-2"/>
    <n v="7.7079643941444951E-4"/>
    <n v="2.2355938142927381E-2"/>
    <n v="0"/>
    <n v="0"/>
    <n v="0"/>
    <n v="2.2355938142927381E-2"/>
  </r>
  <r>
    <x v="11"/>
    <d v="2022-01-05T00:00:00"/>
    <d v="2022-01-24T00:00:00"/>
    <x v="2"/>
    <n v="9"/>
    <n v="110"/>
    <n v="3.0958330474702616E-4"/>
    <n v="5.1131360104153957E-4"/>
    <n v="5.6244496114569352E-2"/>
    <n v="3.405416352217288E-2"/>
    <n v="2.2190332592396472E-2"/>
    <n v="7.9240755453821913E-4"/>
    <n v="2.2982740146934692E-2"/>
    <n v="0"/>
    <n v="0"/>
    <n v="0"/>
    <n v="2.2982740146934692E-2"/>
  </r>
  <r>
    <x v="0"/>
    <d v="2021-02-03T00:00:00"/>
    <d v="2021-02-24T00:00:00"/>
    <x v="3"/>
    <n v="9"/>
    <n v="767"/>
    <n v="3.0958330474702616E-4"/>
    <n v="5.1131360104153957E-4"/>
    <n v="0.39217753199886085"/>
    <n v="0.23745039474096907"/>
    <n v="0.15472713725789178"/>
    <n v="5.5252417666437634E-3"/>
    <n v="0.16025237902453554"/>
    <n v="0"/>
    <n v="0"/>
    <n v="0"/>
    <n v="0.16025237902453554"/>
  </r>
  <r>
    <x v="1"/>
    <d v="2021-03-03T00:00:00"/>
    <d v="2021-03-24T00:00:00"/>
    <x v="3"/>
    <n v="9"/>
    <n v="1062"/>
    <n v="3.0958330474702616E-4"/>
    <n v="5.1131360104153957E-4"/>
    <n v="0.54301504430611502"/>
    <n v="0.3287774696413418"/>
    <n v="0.21423757466477322"/>
    <n v="7.6503347538144422E-3"/>
    <n v="0.22188790941858766"/>
    <n v="0"/>
    <n v="0"/>
    <n v="0"/>
    <n v="0.22188790941858766"/>
  </r>
  <r>
    <x v="2"/>
    <d v="2021-04-05T00:00:00"/>
    <d v="2021-04-26T00:00:00"/>
    <x v="3"/>
    <n v="9"/>
    <n v="599"/>
    <n v="3.0958330474702616E-4"/>
    <n v="5.1131360104153957E-4"/>
    <n v="0.30627684702388219"/>
    <n v="0.18544039954346866"/>
    <n v="0.12083644748041353"/>
    <n v="4.3150193197126659E-3"/>
    <n v="0.1251514668001262"/>
    <n v="0"/>
    <n v="0"/>
    <n v="0"/>
    <n v="0.1251514668001262"/>
  </r>
  <r>
    <x v="3"/>
    <d v="2021-05-05T00:00:00"/>
    <d v="2021-05-24T00:00:00"/>
    <x v="3"/>
    <n v="9"/>
    <n v="447"/>
    <n v="3.0958330474702616E-4"/>
    <n v="5.1131360104153957E-4"/>
    <n v="0.22855717966556818"/>
    <n v="0.13838373722192068"/>
    <n v="9.01734424436475E-2"/>
    <n v="3.2200561534416719E-3"/>
    <n v="9.3393498597089175E-2"/>
    <n v="0"/>
    <n v="0"/>
    <n v="0"/>
    <n v="9.3393498597089175E-2"/>
  </r>
  <r>
    <x v="4"/>
    <d v="2021-06-03T00:00:00"/>
    <d v="2021-06-24T00:00:00"/>
    <x v="3"/>
    <n v="9"/>
    <n v="603"/>
    <n v="3.0958330474702616E-4"/>
    <n v="5.1131360104153957E-4"/>
    <n v="0.30832210142804833"/>
    <n v="0.18667873276245678"/>
    <n v="0.12164336866559156"/>
    <n v="4.3438341398776914E-3"/>
    <n v="0.12598720280546924"/>
    <n v="0"/>
    <n v="0"/>
    <n v="0"/>
    <n v="0.12598720280546924"/>
  </r>
  <r>
    <x v="5"/>
    <d v="2021-07-06T00:00:00"/>
    <d v="2021-07-24T00:00:00"/>
    <x v="3"/>
    <n v="9"/>
    <n v="840"/>
    <n v="3.0958330474702616E-4"/>
    <n v="5.1131360104153957E-4"/>
    <n v="0.42950342487489324"/>
    <n v="0.26004997598750196"/>
    <n v="0.16945344888739128"/>
    <n v="6.0511122346554912E-3"/>
    <n v="0.17550456112204676"/>
    <n v="0"/>
    <n v="0"/>
    <n v="0"/>
    <n v="0.17550456112204676"/>
  </r>
  <r>
    <x v="6"/>
    <d v="2021-08-04T00:00:00"/>
    <d v="2021-08-24T00:00:00"/>
    <x v="3"/>
    <n v="9"/>
    <n v="926"/>
    <n v="3.0958330474702616E-4"/>
    <n v="5.1131360104153957E-4"/>
    <n v="0.47347639456446566"/>
    <n v="0.28667414019574622"/>
    <n v="0.18680225436871944"/>
    <n v="6.6706308682035528E-3"/>
    <n v="0.19347288523692299"/>
    <n v="0"/>
    <n v="0"/>
    <n v="0"/>
    <n v="0.19347288523692299"/>
  </r>
  <r>
    <x v="7"/>
    <d v="2021-09-03T00:00:00"/>
    <d v="2021-09-24T00:00:00"/>
    <x v="3"/>
    <n v="9"/>
    <n v="943"/>
    <n v="3.0958330474702616E-4"/>
    <n v="5.1131360104153957E-4"/>
    <n v="0.48216872578217179"/>
    <n v="0.29193705637644568"/>
    <n v="0.19023166940572611"/>
    <n v="6.7930938539049147E-3"/>
    <n v="0.19702476325963103"/>
    <n v="0"/>
    <n v="0"/>
    <n v="0"/>
    <n v="0.19702476325963103"/>
  </r>
  <r>
    <x v="8"/>
    <d v="2021-10-05T00:00:00"/>
    <d v="2021-10-25T00:00:00"/>
    <x v="3"/>
    <n v="9"/>
    <n v="913"/>
    <n v="3.0958330474702616E-4"/>
    <n v="5.1131360104153957E-4"/>
    <n v="0.46682931775092562"/>
    <n v="0.2826495572340349"/>
    <n v="0.18417976051689072"/>
    <n v="6.5769827026672181E-3"/>
    <n v="0.19075674321955793"/>
    <n v="0"/>
    <n v="0"/>
    <n v="0"/>
    <n v="0.19075674321955793"/>
  </r>
  <r>
    <x v="9"/>
    <d v="2021-11-03T00:00:00"/>
    <d v="2021-11-24T00:00:00"/>
    <x v="3"/>
    <n v="9"/>
    <n v="681"/>
    <n v="3.0958330474702616E-4"/>
    <n v="5.1131360104153957E-4"/>
    <n v="0.34820456230928842"/>
    <n v="0.21082623053272481"/>
    <n v="0.13737833177656361"/>
    <n v="4.9057231330957018E-3"/>
    <n v="0.14228405490965931"/>
    <n v="0"/>
    <n v="0"/>
    <n v="0"/>
    <n v="0.14228405490965931"/>
  </r>
  <r>
    <x v="10"/>
    <d v="2021-12-03T00:00:00"/>
    <d v="2021-12-27T00:00:00"/>
    <x v="3"/>
    <n v="9"/>
    <n v="652"/>
    <n v="3.0958330474702616E-4"/>
    <n v="5.1131360104153957E-4"/>
    <n v="0.33337646787908382"/>
    <n v="0.20184831469506107"/>
    <n v="0.13152815318402275"/>
    <n v="4.6968156868992623E-3"/>
    <n v="0.136224968870922"/>
    <n v="0"/>
    <n v="0"/>
    <n v="0"/>
    <n v="0.136224968870922"/>
  </r>
  <r>
    <x v="11"/>
    <d v="2022-01-05T00:00:00"/>
    <d v="2022-01-24T00:00:00"/>
    <x v="3"/>
    <n v="9"/>
    <n v="634"/>
    <n v="3.0958330474702616E-4"/>
    <n v="5.1131360104153957E-4"/>
    <n v="0.32417282306033607"/>
    <n v="0.1962758152096146"/>
    <n v="0.12789700785072147"/>
    <n v="4.5671489961566442E-3"/>
    <n v="0.13246415684687812"/>
    <n v="0"/>
    <n v="0"/>
    <n v="0"/>
    <n v="0.13246415684687812"/>
  </r>
  <r>
    <x v="0"/>
    <d v="2021-02-03T00:00:00"/>
    <d v="2021-02-24T00:00:00"/>
    <x v="4"/>
    <n v="9"/>
    <n v="38"/>
    <n v="3.0958330474702616E-4"/>
    <n v="5.1131360104153957E-4"/>
    <n v="1.9429916839578502E-2"/>
    <n v="1.1764165580386994E-2"/>
    <n v="7.6657512591915087E-3"/>
    <n v="2.7374079156774843E-4"/>
    <n v="7.9394920507592573E-3"/>
    <n v="0"/>
    <n v="0"/>
    <n v="0"/>
    <n v="7.9394920507592573E-3"/>
  </r>
  <r>
    <x v="1"/>
    <d v="2021-03-03T00:00:00"/>
    <d v="2021-03-24T00:00:00"/>
    <x v="4"/>
    <n v="9"/>
    <n v="60"/>
    <n v="3.0958330474702616E-4"/>
    <n v="5.1131360104153957E-4"/>
    <n v="3.0678816062492374E-2"/>
    <n v="1.8574998284821571E-2"/>
    <n v="1.2103817777670802E-2"/>
    <n v="4.3222230247539224E-4"/>
    <n v="1.2536040080146194E-2"/>
    <n v="0"/>
    <n v="0"/>
    <n v="0"/>
    <n v="1.2536040080146194E-2"/>
  </r>
  <r>
    <x v="2"/>
    <d v="2021-04-05T00:00:00"/>
    <d v="2021-04-26T00:00:00"/>
    <x v="4"/>
    <n v="9"/>
    <n v="31"/>
    <n v="3.0958330474702616E-4"/>
    <n v="5.1131360104153957E-4"/>
    <n v="1.5850721632287727E-2"/>
    <n v="9.5970824471578106E-3"/>
    <n v="6.2536391851299167E-3"/>
    <n v="2.2331485627895265E-4"/>
    <n v="6.4769540414088694E-3"/>
    <n v="0"/>
    <n v="0"/>
    <n v="0"/>
    <n v="6.4769540414088694E-3"/>
  </r>
  <r>
    <x v="3"/>
    <d v="2021-05-05T00:00:00"/>
    <d v="2021-05-24T00:00:00"/>
    <x v="4"/>
    <n v="9"/>
    <n v="20"/>
    <n v="3.0958330474702616E-4"/>
    <n v="5.1131360104153957E-4"/>
    <n v="1.0226272020830792E-2"/>
    <n v="6.1916660949405235E-3"/>
    <n v="4.0346059258902682E-3"/>
    <n v="1.4407410082513075E-4"/>
    <n v="4.1786800267153987E-3"/>
    <n v="0"/>
    <n v="0"/>
    <n v="0"/>
    <n v="4.1786800267153987E-3"/>
  </r>
  <r>
    <x v="4"/>
    <d v="2021-06-03T00:00:00"/>
    <d v="2021-06-24T00:00:00"/>
    <x v="4"/>
    <n v="9"/>
    <n v="28"/>
    <n v="3.0958330474702616E-4"/>
    <n v="5.1131360104153957E-4"/>
    <n v="1.4316780829163107E-2"/>
    <n v="8.6683325329167324E-3"/>
    <n v="5.648448296246375E-3"/>
    <n v="2.0170374115518303E-4"/>
    <n v="5.8501520374015584E-3"/>
    <n v="0"/>
    <n v="0"/>
    <n v="0"/>
    <n v="5.8501520374015584E-3"/>
  </r>
  <r>
    <x v="5"/>
    <d v="2021-07-06T00:00:00"/>
    <d v="2021-07-24T00:00:00"/>
    <x v="4"/>
    <n v="9"/>
    <n v="45"/>
    <n v="3.0958330474702616E-4"/>
    <n v="5.1131360104153957E-4"/>
    <n v="2.3009112046869281E-2"/>
    <n v="1.3931248713616177E-2"/>
    <n v="9.0778633332531042E-3"/>
    <n v="3.2416672685654416E-4"/>
    <n v="9.4020300601096486E-3"/>
    <n v="0"/>
    <n v="0"/>
    <n v="0"/>
    <n v="9.4020300601096486E-3"/>
  </r>
  <r>
    <x v="6"/>
    <d v="2021-08-04T00:00:00"/>
    <d v="2021-08-24T00:00:00"/>
    <x v="4"/>
    <n v="9"/>
    <n v="53"/>
    <n v="3.0958330474702616E-4"/>
    <n v="5.1131360104153957E-4"/>
    <n v="2.7099620855201598E-2"/>
    <n v="1.6407915151592387E-2"/>
    <n v="1.0691705703609212E-2"/>
    <n v="3.8179636718659651E-4"/>
    <n v="1.1073502070795809E-2"/>
    <n v="0"/>
    <n v="0"/>
    <n v="0"/>
    <n v="1.1073502070795809E-2"/>
  </r>
  <r>
    <x v="7"/>
    <d v="2021-09-03T00:00:00"/>
    <d v="2021-09-24T00:00:00"/>
    <x v="4"/>
    <n v="9"/>
    <n v="50"/>
    <n v="3.0958330474702616E-4"/>
    <n v="5.1131360104153957E-4"/>
    <n v="2.5565680052076978E-2"/>
    <n v="1.5479165237351308E-2"/>
    <n v="1.008651481472567E-2"/>
    <n v="3.6018525206282689E-4"/>
    <n v="1.0446700066788496E-2"/>
    <n v="0"/>
    <n v="0"/>
    <n v="0"/>
    <n v="1.0446700066788496E-2"/>
  </r>
  <r>
    <x v="8"/>
    <d v="2021-10-05T00:00:00"/>
    <d v="2021-10-25T00:00:00"/>
    <x v="4"/>
    <n v="9"/>
    <n v="49"/>
    <n v="3.0958330474702616E-4"/>
    <n v="5.1131360104153957E-4"/>
    <n v="2.505436645103544E-2"/>
    <n v="1.5169581932604282E-2"/>
    <n v="9.884784518431158E-3"/>
    <n v="3.5298154702157033E-4"/>
    <n v="1.0237766065452729E-2"/>
    <n v="0"/>
    <n v="0"/>
    <n v="0"/>
    <n v="1.0237766065452729E-2"/>
  </r>
  <r>
    <x v="9"/>
    <d v="2021-11-03T00:00:00"/>
    <d v="2021-11-24T00:00:00"/>
    <x v="4"/>
    <n v="9"/>
    <n v="38"/>
    <n v="3.0958330474702616E-4"/>
    <n v="5.1131360104153957E-4"/>
    <n v="1.9429916839578502E-2"/>
    <n v="1.1764165580386994E-2"/>
    <n v="7.6657512591915087E-3"/>
    <n v="2.7374079156774843E-4"/>
    <n v="7.9394920507592573E-3"/>
    <n v="0"/>
    <n v="0"/>
    <n v="0"/>
    <n v="7.9394920507592573E-3"/>
  </r>
  <r>
    <x v="10"/>
    <d v="2021-12-03T00:00:00"/>
    <d v="2021-12-27T00:00:00"/>
    <x v="4"/>
    <n v="9"/>
    <n v="32"/>
    <n v="3.0958330474702616E-4"/>
    <n v="5.1131360104153957E-4"/>
    <n v="1.6362035233329266E-2"/>
    <n v="9.9066657519048373E-3"/>
    <n v="6.4553694814244288E-3"/>
    <n v="2.3051856132020918E-4"/>
    <n v="6.6858880427446378E-3"/>
    <n v="0"/>
    <n v="0"/>
    <n v="0"/>
    <n v="6.6858880427446378E-3"/>
  </r>
  <r>
    <x v="11"/>
    <d v="2022-01-05T00:00:00"/>
    <d v="2022-01-24T00:00:00"/>
    <x v="4"/>
    <n v="9"/>
    <n v="31"/>
    <n v="3.0958330474702616E-4"/>
    <n v="5.1131360104153957E-4"/>
    <n v="1.5850721632287727E-2"/>
    <n v="9.5970824471578106E-3"/>
    <n v="6.2536391851299167E-3"/>
    <n v="2.2331485627895265E-4"/>
    <n v="6.4769540414088694E-3"/>
    <n v="0"/>
    <n v="0"/>
    <n v="0"/>
    <n v="6.4769540414088694E-3"/>
  </r>
  <r>
    <x v="0"/>
    <d v="2021-02-03T00:00:00"/>
    <d v="2021-02-24T00:00:00"/>
    <x v="5"/>
    <n v="9"/>
    <n v="43"/>
    <n v="3.0958330474702616E-4"/>
    <n v="5.1131360104153957E-4"/>
    <n v="2.19864848447862E-2"/>
    <n v="1.3312082104122125E-2"/>
    <n v="8.6744027406640747E-3"/>
    <n v="3.0975931677403111E-4"/>
    <n v="8.984162057438105E-3"/>
    <n v="0"/>
    <n v="0"/>
    <n v="0"/>
    <n v="8.984162057438105E-3"/>
  </r>
  <r>
    <x v="1"/>
    <d v="2021-03-03T00:00:00"/>
    <d v="2021-03-24T00:00:00"/>
    <x v="5"/>
    <n v="9"/>
    <n v="48"/>
    <n v="3.0958330474702616E-4"/>
    <n v="5.1131360104153957E-4"/>
    <n v="2.4543052849993897E-2"/>
    <n v="1.4859998627857255E-2"/>
    <n v="9.6830542221366424E-3"/>
    <n v="3.4577784198031378E-4"/>
    <n v="1.0028832064116956E-2"/>
    <n v="0"/>
    <n v="0"/>
    <n v="0"/>
    <n v="1.0028832064116956E-2"/>
  </r>
  <r>
    <x v="2"/>
    <d v="2021-04-05T00:00:00"/>
    <d v="2021-04-26T00:00:00"/>
    <x v="5"/>
    <n v="9"/>
    <n v="35"/>
    <n v="3.0958330474702616E-4"/>
    <n v="5.1131360104153957E-4"/>
    <n v="1.7895976036453886E-2"/>
    <n v="1.0835415666145915E-2"/>
    <n v="7.0605603703079705E-3"/>
    <n v="2.5212967644397882E-4"/>
    <n v="7.3126900467519497E-3"/>
    <n v="0"/>
    <n v="0"/>
    <n v="0"/>
    <n v="7.3126900467519497E-3"/>
  </r>
  <r>
    <x v="3"/>
    <d v="2021-05-05T00:00:00"/>
    <d v="2021-05-24T00:00:00"/>
    <x v="5"/>
    <n v="9"/>
    <n v="29"/>
    <n v="3.0958330474702616E-4"/>
    <n v="5.1131360104153957E-4"/>
    <n v="1.4828094430204648E-2"/>
    <n v="8.977915837663759E-3"/>
    <n v="5.8501785925408889E-3"/>
    <n v="2.0890744619643959E-4"/>
    <n v="6.0590860387373284E-3"/>
    <n v="0"/>
    <n v="0"/>
    <n v="0"/>
    <n v="6.0590860387373284E-3"/>
  </r>
  <r>
    <x v="4"/>
    <d v="2021-06-03T00:00:00"/>
    <d v="2021-06-24T00:00:00"/>
    <x v="5"/>
    <n v="9"/>
    <n v="34"/>
    <n v="3.0958330474702616E-4"/>
    <n v="5.1131360104153957E-4"/>
    <n v="1.7384662435412344E-2"/>
    <n v="1.0525832361398889E-2"/>
    <n v="6.8588300740134549E-3"/>
    <n v="2.4492597140272226E-4"/>
    <n v="7.103756045416177E-3"/>
    <n v="0"/>
    <n v="0"/>
    <n v="0"/>
    <n v="7.103756045416177E-3"/>
  </r>
  <r>
    <x v="5"/>
    <d v="2021-07-06T00:00:00"/>
    <d v="2021-07-24T00:00:00"/>
    <x v="5"/>
    <n v="9"/>
    <n v="45"/>
    <n v="3.0958330474702616E-4"/>
    <n v="5.1131360104153957E-4"/>
    <n v="2.3009112046869281E-2"/>
    <n v="1.3931248713616177E-2"/>
    <n v="9.0778633332531042E-3"/>
    <n v="3.2416672685654416E-4"/>
    <n v="9.4020300601096486E-3"/>
    <n v="0"/>
    <n v="0"/>
    <n v="0"/>
    <n v="9.4020300601096486E-3"/>
  </r>
  <r>
    <x v="6"/>
    <d v="2021-08-04T00:00:00"/>
    <d v="2021-08-24T00:00:00"/>
    <x v="5"/>
    <n v="9"/>
    <n v="48"/>
    <n v="3.0958330474702616E-4"/>
    <n v="5.1131360104153957E-4"/>
    <n v="2.4543052849993897E-2"/>
    <n v="1.4859998627857255E-2"/>
    <n v="9.6830542221366424E-3"/>
    <n v="3.4577784198031378E-4"/>
    <n v="1.0028832064116956E-2"/>
    <n v="0"/>
    <n v="0"/>
    <n v="0"/>
    <n v="1.0028832064116956E-2"/>
  </r>
  <r>
    <x v="7"/>
    <d v="2021-09-03T00:00:00"/>
    <d v="2021-09-24T00:00:00"/>
    <x v="5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8"/>
    <d v="2021-10-05T00:00:00"/>
    <d v="2021-10-25T00:00:00"/>
    <x v="5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9"/>
    <d v="2021-11-03T00:00:00"/>
    <d v="2021-11-24T00:00:00"/>
    <x v="5"/>
    <n v="9"/>
    <n v="41"/>
    <n v="3.0958330474702616E-4"/>
    <n v="5.1131360104153957E-4"/>
    <n v="2.0963857642703122E-2"/>
    <n v="1.2692915494628072E-2"/>
    <n v="8.2709421480750504E-3"/>
    <n v="2.9535190669151799E-4"/>
    <n v="8.5662940547665684E-3"/>
    <n v="0"/>
    <n v="0"/>
    <n v="0"/>
    <n v="8.5662940547665684E-3"/>
  </r>
  <r>
    <x v="10"/>
    <d v="2021-12-03T00:00:00"/>
    <d v="2021-12-27T00:00:00"/>
    <x v="5"/>
    <n v="9"/>
    <n v="40"/>
    <n v="3.0958330474702616E-4"/>
    <n v="5.1131360104153957E-4"/>
    <n v="2.0452544041661583E-2"/>
    <n v="1.2383332189881047E-2"/>
    <n v="8.0692118517805365E-3"/>
    <n v="2.8814820165026149E-4"/>
    <n v="8.3573600534307974E-3"/>
    <n v="0"/>
    <n v="0"/>
    <n v="0"/>
    <n v="8.3573600534307974E-3"/>
  </r>
  <r>
    <x v="11"/>
    <d v="2022-01-05T00:00:00"/>
    <d v="2022-01-24T00:00:00"/>
    <x v="5"/>
    <n v="9"/>
    <n v="39"/>
    <n v="3.0958330474702616E-4"/>
    <n v="5.1131360104153957E-4"/>
    <n v="1.9941230440620045E-2"/>
    <n v="1.207374888513402E-2"/>
    <n v="7.8674815554860243E-3"/>
    <n v="2.8094449660900493E-4"/>
    <n v="8.14842605209503E-3"/>
    <n v="0"/>
    <n v="0"/>
    <n v="0"/>
    <n v="8.14842605209503E-3"/>
  </r>
  <r>
    <x v="0"/>
    <d v="2021-02-03T00:00:00"/>
    <d v="2021-02-24T00:00:00"/>
    <x v="6"/>
    <n v="9"/>
    <n v="76"/>
    <n v="3.0958330474702616E-4"/>
    <n v="5.1131360104153957E-4"/>
    <n v="3.8859833679157005E-2"/>
    <n v="2.3528331160773987E-2"/>
    <n v="1.5331502518383017E-2"/>
    <n v="5.4748158313549687E-4"/>
    <n v="1.5878984101518515E-2"/>
    <n v="0"/>
    <n v="0"/>
    <n v="0"/>
    <n v="1.5878984101518515E-2"/>
  </r>
  <r>
    <x v="1"/>
    <d v="2021-03-03T00:00:00"/>
    <d v="2021-03-24T00:00:00"/>
    <x v="6"/>
    <n v="9"/>
    <n v="99"/>
    <n v="3.0958330474702616E-4"/>
    <n v="5.1131360104153957E-4"/>
    <n v="5.0620046503112415E-2"/>
    <n v="3.0648747169955592E-2"/>
    <n v="1.9971299333156823E-2"/>
    <n v="7.1316679908439728E-4"/>
    <n v="2.068446613224122E-2"/>
    <n v="0"/>
    <n v="0"/>
    <n v="0"/>
    <n v="2.068446613224122E-2"/>
  </r>
  <r>
    <x v="2"/>
    <d v="2021-04-05T00:00:00"/>
    <d v="2021-04-26T00:00:00"/>
    <x v="6"/>
    <n v="9"/>
    <n v="66"/>
    <n v="3.0958330474702616E-4"/>
    <n v="5.1131360104153957E-4"/>
    <n v="3.374669766874161E-2"/>
    <n v="2.0432498113303728E-2"/>
    <n v="1.3314199555437882E-2"/>
    <n v="4.7544453272293141E-4"/>
    <n v="1.3789644088160814E-2"/>
    <n v="0"/>
    <n v="0"/>
    <n v="0"/>
    <n v="1.3789644088160814E-2"/>
  </r>
  <r>
    <x v="3"/>
    <d v="2021-05-05T00:00:00"/>
    <d v="2021-05-24T00:00:00"/>
    <x v="6"/>
    <n v="9"/>
    <n v="67"/>
    <n v="3.0958330474702616E-4"/>
    <n v="5.1131360104153957E-4"/>
    <n v="3.4258011269783152E-2"/>
    <n v="2.0742081418050753E-2"/>
    <n v="1.3515929851732399E-2"/>
    <n v="4.8264823776418797E-4"/>
    <n v="1.3998578089496587E-2"/>
    <n v="0"/>
    <n v="0"/>
    <n v="0"/>
    <n v="1.3998578089496587E-2"/>
  </r>
  <r>
    <x v="4"/>
    <d v="2021-06-03T00:00:00"/>
    <d v="2021-06-24T00:00:00"/>
    <x v="6"/>
    <n v="9"/>
    <n v="101"/>
    <n v="3.0958330474702616E-4"/>
    <n v="5.1131360104153957E-4"/>
    <n v="5.1642673705195499E-2"/>
    <n v="3.1267913779449645E-2"/>
    <n v="2.0374759925745854E-2"/>
    <n v="7.2757420916691028E-4"/>
    <n v="2.1102334134912765E-2"/>
    <n v="0"/>
    <n v="0"/>
    <n v="0"/>
    <n v="2.1102334134912765E-2"/>
  </r>
  <r>
    <x v="5"/>
    <d v="2021-07-06T00:00:00"/>
    <d v="2021-07-24T00:00:00"/>
    <x v="6"/>
    <n v="9"/>
    <n v="141"/>
    <n v="3.0958330474702616E-4"/>
    <n v="5.1131360104153957E-4"/>
    <n v="7.2095217746857079E-2"/>
    <n v="4.365124596933069E-2"/>
    <n v="2.8443971777526389E-2"/>
    <n v="1.0157224108171719E-3"/>
    <n v="2.9459694188343561E-2"/>
    <n v="0"/>
    <n v="0"/>
    <n v="0"/>
    <n v="2.9459694188343561E-2"/>
  </r>
  <r>
    <x v="6"/>
    <d v="2021-08-04T00:00:00"/>
    <d v="2021-08-24T00:00:00"/>
    <x v="6"/>
    <n v="9"/>
    <n v="145"/>
    <n v="3.0958330474702616E-4"/>
    <n v="5.1131360104153957E-4"/>
    <n v="7.4140472151023235E-2"/>
    <n v="4.4889579188318797E-2"/>
    <n v="2.9250892962704438E-2"/>
    <n v="1.0445372309821979E-3"/>
    <n v="3.0295430193686634E-2"/>
    <n v="0"/>
    <n v="0"/>
    <n v="0"/>
    <n v="3.0295430193686634E-2"/>
  </r>
  <r>
    <x v="7"/>
    <d v="2021-09-03T00:00:00"/>
    <d v="2021-09-24T00:00:00"/>
    <x v="6"/>
    <n v="9"/>
    <n v="149"/>
    <n v="3.0958330474702616E-4"/>
    <n v="5.1131360104153957E-4"/>
    <n v="7.618572655518939E-2"/>
    <n v="4.6127912407306897E-2"/>
    <n v="3.0057814147882493E-2"/>
    <n v="1.0733520511472241E-3"/>
    <n v="3.1131166199029718E-2"/>
    <n v="0"/>
    <n v="0"/>
    <n v="0"/>
    <n v="3.1131166199029718E-2"/>
  </r>
  <r>
    <x v="8"/>
    <d v="2021-10-05T00:00:00"/>
    <d v="2021-10-25T00:00:00"/>
    <x v="6"/>
    <n v="9"/>
    <n v="150"/>
    <n v="3.0958330474702616E-4"/>
    <n v="5.1131360104153957E-4"/>
    <n v="7.6697040156230939E-2"/>
    <n v="4.6437495712053925E-2"/>
    <n v="3.0259544444177014E-2"/>
    <n v="1.0805557561884805E-3"/>
    <n v="3.1340100200365498E-2"/>
    <n v="0"/>
    <n v="0"/>
    <n v="0"/>
    <n v="3.1340100200365498E-2"/>
  </r>
  <r>
    <x v="9"/>
    <d v="2021-11-03T00:00:00"/>
    <d v="2021-11-24T00:00:00"/>
    <x v="6"/>
    <n v="9"/>
    <n v="114"/>
    <n v="3.0958330474702616E-4"/>
    <n v="5.1131360104153957E-4"/>
    <n v="5.8289750518735507E-2"/>
    <n v="3.5292496741160979E-2"/>
    <n v="2.2997253777574528E-2"/>
    <n v="8.2122237470324524E-4"/>
    <n v="2.3818476152277772E-2"/>
    <n v="0"/>
    <n v="0"/>
    <n v="0"/>
    <n v="2.3818476152277772E-2"/>
  </r>
  <r>
    <x v="10"/>
    <d v="2021-12-03T00:00:00"/>
    <d v="2021-12-27T00:00:00"/>
    <x v="6"/>
    <n v="9"/>
    <n v="66"/>
    <n v="3.0958330474702616E-4"/>
    <n v="5.1131360104153957E-4"/>
    <n v="3.374669766874161E-2"/>
    <n v="2.0432498113303728E-2"/>
    <n v="1.3314199555437882E-2"/>
    <n v="4.7544453272293141E-4"/>
    <n v="1.3789644088160814E-2"/>
    <n v="0"/>
    <n v="0"/>
    <n v="0"/>
    <n v="1.3789644088160814E-2"/>
  </r>
  <r>
    <x v="11"/>
    <d v="2022-01-05T00:00:00"/>
    <d v="2022-01-24T00:00:00"/>
    <x v="6"/>
    <n v="9"/>
    <n v="72"/>
    <n v="3.0958330474702616E-4"/>
    <n v="5.1131360104153957E-4"/>
    <n v="3.681457927499085E-2"/>
    <n v="2.2289997941785884E-2"/>
    <n v="1.4524581333204965E-2"/>
    <n v="5.1866676297047075E-4"/>
    <n v="1.5043248096175436E-2"/>
    <n v="0"/>
    <n v="0"/>
    <n v="0"/>
    <n v="1.5043248096175436E-2"/>
  </r>
  <r>
    <x v="0"/>
    <d v="2021-02-03T00:00:00"/>
    <d v="2021-02-24T00:00:00"/>
    <x v="7"/>
    <n v="9"/>
    <n v="37"/>
    <n v="3.0958330474702616E-4"/>
    <n v="5.1131360104153957E-4"/>
    <n v="1.8918603238536964E-2"/>
    <n v="1.1454582275639969E-2"/>
    <n v="7.4640209628969948E-3"/>
    <n v="2.6653708652649188E-4"/>
    <n v="7.7305580494234864E-3"/>
    <n v="0"/>
    <n v="0"/>
    <n v="0"/>
    <n v="7.7305580494234864E-3"/>
  </r>
  <r>
    <x v="1"/>
    <d v="2021-03-03T00:00:00"/>
    <d v="2021-03-24T00:00:00"/>
    <x v="7"/>
    <n v="9"/>
    <n v="33"/>
    <n v="3.0958330474702616E-4"/>
    <n v="5.1131360104153957E-4"/>
    <n v="1.6873348834370805E-2"/>
    <n v="1.0216249056651864E-2"/>
    <n v="6.657099777718941E-3"/>
    <n v="2.3772226636146571E-4"/>
    <n v="6.894822044080407E-3"/>
    <n v="0"/>
    <n v="0"/>
    <n v="0"/>
    <n v="6.894822044080407E-3"/>
  </r>
  <r>
    <x v="2"/>
    <d v="2021-04-05T00:00:00"/>
    <d v="2021-04-26T00:00:00"/>
    <x v="7"/>
    <n v="9"/>
    <n v="47"/>
    <n v="3.0958330474702616E-4"/>
    <n v="5.1131360104153957E-4"/>
    <n v="2.4031739248952359E-2"/>
    <n v="1.455041532311023E-2"/>
    <n v="9.4813239258421285E-3"/>
    <n v="3.3857413693905728E-4"/>
    <n v="9.8198980627811853E-3"/>
    <n v="0"/>
    <n v="0"/>
    <n v="0"/>
    <n v="9.8198980627811853E-3"/>
  </r>
  <r>
    <x v="3"/>
    <d v="2021-05-05T00:00:00"/>
    <d v="2021-05-24T00:00:00"/>
    <x v="7"/>
    <n v="9"/>
    <n v="39"/>
    <n v="3.0958330474702616E-4"/>
    <n v="5.1131360104153957E-4"/>
    <n v="1.9941230440620045E-2"/>
    <n v="1.207374888513402E-2"/>
    <n v="7.8674815554860243E-3"/>
    <n v="2.8094449660900493E-4"/>
    <n v="8.14842605209503E-3"/>
    <n v="0"/>
    <n v="0"/>
    <n v="0"/>
    <n v="8.14842605209503E-3"/>
  </r>
  <r>
    <x v="4"/>
    <d v="2021-06-03T00:00:00"/>
    <d v="2021-06-24T00:00:00"/>
    <x v="7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5"/>
    <d v="2021-07-06T00:00:00"/>
    <d v="2021-07-24T00:00:00"/>
    <x v="7"/>
    <n v="9"/>
    <n v="51"/>
    <n v="3.0958330474702616E-4"/>
    <n v="5.1131360104153957E-4"/>
    <n v="2.6076993653118517E-2"/>
    <n v="1.5788748542098333E-2"/>
    <n v="1.0288245111020184E-2"/>
    <n v="3.6738895710408345E-4"/>
    <n v="1.0655634068124267E-2"/>
    <n v="0"/>
    <n v="0"/>
    <n v="0"/>
    <n v="1.0655634068124267E-2"/>
  </r>
  <r>
    <x v="6"/>
    <d v="2021-08-04T00:00:00"/>
    <d v="2021-08-24T00:00:00"/>
    <x v="7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7"/>
    <d v="2021-09-03T00:00:00"/>
    <d v="2021-09-24T00:00:00"/>
    <x v="7"/>
    <n v="9"/>
    <n v="50"/>
    <n v="3.0958330474702616E-4"/>
    <n v="5.1131360104153957E-4"/>
    <n v="2.5565680052076978E-2"/>
    <n v="1.5479165237351308E-2"/>
    <n v="1.008651481472567E-2"/>
    <n v="3.6018525206282689E-4"/>
    <n v="1.0446700066788496E-2"/>
    <n v="0"/>
    <n v="0"/>
    <n v="0"/>
    <n v="1.0446700066788496E-2"/>
  </r>
  <r>
    <x v="8"/>
    <d v="2021-10-05T00:00:00"/>
    <d v="2021-10-25T00:00:00"/>
    <x v="7"/>
    <n v="9"/>
    <n v="45"/>
    <n v="3.0958330474702616E-4"/>
    <n v="5.1131360104153957E-4"/>
    <n v="2.3009112046869281E-2"/>
    <n v="1.3931248713616177E-2"/>
    <n v="9.0778633332531042E-3"/>
    <n v="3.2416672685654416E-4"/>
    <n v="9.4020300601096486E-3"/>
    <n v="0"/>
    <n v="0"/>
    <n v="0"/>
    <n v="9.4020300601096486E-3"/>
  </r>
  <r>
    <x v="9"/>
    <d v="2021-11-03T00:00:00"/>
    <d v="2021-11-24T00:00:00"/>
    <x v="7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10"/>
    <d v="2021-12-03T00:00:00"/>
    <d v="2021-12-27T00:00:00"/>
    <x v="7"/>
    <n v="9"/>
    <n v="48"/>
    <n v="3.0958330474702616E-4"/>
    <n v="5.1131360104153957E-4"/>
    <n v="2.4543052849993897E-2"/>
    <n v="1.4859998627857255E-2"/>
    <n v="9.6830542221366424E-3"/>
    <n v="3.4577784198031378E-4"/>
    <n v="1.0028832064116956E-2"/>
    <n v="0"/>
    <n v="0"/>
    <n v="0"/>
    <n v="1.0028832064116956E-2"/>
  </r>
  <r>
    <x v="11"/>
    <d v="2022-01-05T00:00:00"/>
    <d v="2022-01-24T00:00:00"/>
    <x v="7"/>
    <n v="9"/>
    <n v="42"/>
    <n v="3.0958330474702616E-4"/>
    <n v="5.1131360104153957E-4"/>
    <n v="2.1475171243744661E-2"/>
    <n v="1.3002498799375099E-2"/>
    <n v="8.4726724443695625E-3"/>
    <n v="3.0255561173277455E-4"/>
    <n v="8.7752280561023376E-3"/>
    <n v="0"/>
    <n v="0"/>
    <n v="0"/>
    <n v="8.7752280561023376E-3"/>
  </r>
  <r>
    <x v="0"/>
    <d v="2021-02-03T00:00:00"/>
    <d v="2021-02-24T00:00:00"/>
    <x v="8"/>
    <n v="9"/>
    <n v="973"/>
    <n v="3.0958330474702616E-4"/>
    <n v="5.1131360104153957E-4"/>
    <n v="0.49750813381341802"/>
    <n v="0.30122455551885646"/>
    <n v="0.19628357829456156"/>
    <n v="7.0092050051426104E-3"/>
    <n v="0.20329278329970416"/>
    <n v="0"/>
    <n v="0"/>
    <n v="0"/>
    <n v="0.20329278329970416"/>
  </r>
  <r>
    <x v="1"/>
    <d v="2021-03-03T00:00:00"/>
    <d v="2021-03-24T00:00:00"/>
    <x v="8"/>
    <n v="9"/>
    <n v="1338"/>
    <n v="3.0958330474702616E-4"/>
    <n v="5.1131360104153957E-4"/>
    <n v="0.68413759819357989"/>
    <n v="0.414222461751521"/>
    <n v="0.26991513644205889"/>
    <n v="9.6385573452012468E-3"/>
    <n v="0.27955369378726014"/>
    <n v="0"/>
    <n v="0"/>
    <n v="0"/>
    <n v="0.27955369378726014"/>
  </r>
  <r>
    <x v="2"/>
    <d v="2021-04-05T00:00:00"/>
    <d v="2021-04-26T00:00:00"/>
    <x v="8"/>
    <n v="9"/>
    <n v="790"/>
    <n v="3.0958330474702616E-4"/>
    <n v="5.1131360104153957E-4"/>
    <n v="0.40393774482281625"/>
    <n v="0.24457081075015066"/>
    <n v="0.15936693407266558"/>
    <n v="5.6909269825926641E-3"/>
    <n v="0.16505786105525824"/>
    <n v="0"/>
    <n v="0"/>
    <n v="0"/>
    <n v="0.16505786105525824"/>
  </r>
  <r>
    <x v="3"/>
    <d v="2021-05-05T00:00:00"/>
    <d v="2021-05-24T00:00:00"/>
    <x v="8"/>
    <n v="9"/>
    <n v="565"/>
    <n v="3.0958330474702616E-4"/>
    <n v="5.1131360104153957E-4"/>
    <n v="0.28889218458846988"/>
    <n v="0.1749145671820698"/>
    <n v="0.11397761740640008"/>
    <n v="4.0700933483099437E-3"/>
    <n v="0.11804771075471003"/>
    <n v="0"/>
    <n v="0"/>
    <n v="0"/>
    <n v="0.11804771075471003"/>
  </r>
  <r>
    <x v="4"/>
    <d v="2021-06-03T00:00:00"/>
    <d v="2021-06-24T00:00:00"/>
    <x v="8"/>
    <n v="9"/>
    <n v="636"/>
    <n v="3.0958330474702616E-4"/>
    <n v="5.1131360104153957E-4"/>
    <n v="0.32519545026241914"/>
    <n v="0.19689498181910864"/>
    <n v="0.1283004684433105"/>
    <n v="4.5815564062391574E-3"/>
    <n v="0.13288202484954967"/>
    <n v="0"/>
    <n v="0"/>
    <n v="0"/>
    <n v="0.13288202484954967"/>
  </r>
  <r>
    <x v="5"/>
    <d v="2021-07-06T00:00:00"/>
    <d v="2021-07-24T00:00:00"/>
    <x v="8"/>
    <n v="9"/>
    <n v="845"/>
    <n v="3.0958330474702616E-4"/>
    <n v="5.1131360104153957E-4"/>
    <n v="0.43205999288010094"/>
    <n v="0.26159789251123711"/>
    <n v="0.17046210036886383"/>
    <n v="6.0871307598617738E-3"/>
    <n v="0.17654923112872561"/>
    <n v="0"/>
    <n v="0"/>
    <n v="0"/>
    <n v="0.17654923112872561"/>
  </r>
  <r>
    <x v="6"/>
    <d v="2021-08-04T00:00:00"/>
    <d v="2021-08-24T00:00:00"/>
    <x v="8"/>
    <n v="9"/>
    <n v="897"/>
    <n v="3.0958330474702616E-4"/>
    <n v="5.1131360104153957E-4"/>
    <n v="0.458648300134261"/>
    <n v="0.27769622435808244"/>
    <n v="0.18095207577617856"/>
    <n v="6.4617234220071141E-3"/>
    <n v="0.18741379919818568"/>
    <n v="0"/>
    <n v="0"/>
    <n v="0"/>
    <n v="0.18741379919818568"/>
  </r>
  <r>
    <x v="7"/>
    <d v="2021-09-03T00:00:00"/>
    <d v="2021-09-24T00:00:00"/>
    <x v="8"/>
    <n v="9"/>
    <n v="899"/>
    <n v="3.0958330474702616E-4"/>
    <n v="5.1131360104153957E-4"/>
    <n v="0.45967092733634407"/>
    <n v="0.27831539096757651"/>
    <n v="0.18135553636876756"/>
    <n v="6.4761308320896273E-3"/>
    <n v="0.18783166720085717"/>
    <n v="0"/>
    <n v="0"/>
    <n v="0"/>
    <n v="0.18783166720085717"/>
  </r>
  <r>
    <x v="8"/>
    <d v="2021-10-05T00:00:00"/>
    <d v="2021-10-25T00:00:00"/>
    <x v="8"/>
    <n v="9"/>
    <n v="904"/>
    <n v="3.0958330474702616E-4"/>
    <n v="5.1131360104153957E-4"/>
    <n v="0.46222749534155178"/>
    <n v="0.27986330749131166"/>
    <n v="0.18236418785024011"/>
    <n v="6.5121493572959099E-3"/>
    <n v="0.18887633720753602"/>
    <n v="0"/>
    <n v="0"/>
    <n v="0"/>
    <n v="0.18887633720753602"/>
  </r>
  <r>
    <x v="9"/>
    <d v="2021-11-03T00:00:00"/>
    <d v="2021-11-24T00:00:00"/>
    <x v="8"/>
    <n v="9"/>
    <n v="685"/>
    <n v="3.0958330474702616E-4"/>
    <n v="5.1131360104153957E-4"/>
    <n v="0.35024981671345462"/>
    <n v="0.21206456375171293"/>
    <n v="0.13818525296174169"/>
    <n v="4.9345379532607283E-3"/>
    <n v="0.14311979091500243"/>
    <n v="0"/>
    <n v="0"/>
    <n v="0"/>
    <n v="0.14311979091500243"/>
  </r>
  <r>
    <x v="10"/>
    <d v="2021-12-03T00:00:00"/>
    <d v="2021-12-27T00:00:00"/>
    <x v="8"/>
    <n v="9"/>
    <n v="718"/>
    <n v="3.0958330474702616E-4"/>
    <n v="5.1131360104153957E-4"/>
    <n v="0.36712316554782543"/>
    <n v="0.22228081280836479"/>
    <n v="0.14484235273946064"/>
    <n v="5.1722602196221943E-3"/>
    <n v="0.15001461295908283"/>
    <n v="0"/>
    <n v="0"/>
    <n v="0"/>
    <n v="0.15001461295908283"/>
  </r>
  <r>
    <x v="11"/>
    <d v="2022-01-05T00:00:00"/>
    <d v="2022-01-24T00:00:00"/>
    <x v="8"/>
    <n v="9"/>
    <n v="770"/>
    <n v="3.0958330474702616E-4"/>
    <n v="5.1131360104153957E-4"/>
    <n v="0.39371147280198548"/>
    <n v="0.23837914465521015"/>
    <n v="0.15533232814677533"/>
    <n v="5.5468528817675337E-3"/>
    <n v="0.16087918102854287"/>
    <n v="0"/>
    <n v="0"/>
    <n v="0"/>
    <n v="0.16087918102854287"/>
  </r>
  <r>
    <x v="0"/>
    <d v="2021-02-03T00:00:00"/>
    <d v="2021-02-24T00:00:00"/>
    <x v="9"/>
    <n v="9"/>
    <n v="7"/>
    <n v="3.0958330474702616E-4"/>
    <n v="5.1131360104153957E-4"/>
    <n v="3.5791952072907769E-3"/>
    <n v="2.1670831332291831E-3"/>
    <n v="1.4121120740615938E-3"/>
    <n v="5.0425935288795758E-5"/>
    <n v="1.4625380093503896E-3"/>
    <n v="0"/>
    <n v="0"/>
    <n v="0"/>
    <n v="1.4625380093503896E-3"/>
  </r>
  <r>
    <x v="1"/>
    <d v="2021-03-03T00:00:00"/>
    <d v="2021-03-24T00:00:00"/>
    <x v="9"/>
    <n v="9"/>
    <n v="8"/>
    <n v="3.0958330474702616E-4"/>
    <n v="5.1131360104153957E-4"/>
    <n v="4.0905088083323165E-3"/>
    <n v="2.4766664379762093E-3"/>
    <n v="1.6138423703561072E-3"/>
    <n v="5.7629640330052294E-5"/>
    <n v="1.6714720106861594E-3"/>
    <n v="0"/>
    <n v="0"/>
    <n v="0"/>
    <n v="1.6714720106861594E-3"/>
  </r>
  <r>
    <x v="2"/>
    <d v="2021-04-05T00:00:00"/>
    <d v="2021-04-26T00:00:00"/>
    <x v="9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3"/>
    <d v="2021-05-05T00:00:00"/>
    <d v="2021-05-24T00:00:00"/>
    <x v="9"/>
    <n v="9"/>
    <n v="6"/>
    <n v="3.0958330474702616E-4"/>
    <n v="5.1131360104153957E-4"/>
    <n v="3.0678816062492372E-3"/>
    <n v="1.8574998284821569E-3"/>
    <n v="1.2103817777670803E-3"/>
    <n v="4.3222230247539222E-5"/>
    <n v="1.2536040080146195E-3"/>
    <n v="0"/>
    <n v="0"/>
    <n v="0"/>
    <n v="1.2536040080146195E-3"/>
  </r>
  <r>
    <x v="4"/>
    <d v="2021-06-03T00:00:00"/>
    <d v="2021-06-24T00:00:00"/>
    <x v="9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5"/>
    <d v="2021-07-06T00:00:00"/>
    <d v="2021-07-24T00:00:00"/>
    <x v="9"/>
    <n v="9"/>
    <n v="13"/>
    <n v="3.0958330474702616E-4"/>
    <n v="5.1131360104153957E-4"/>
    <n v="6.647076813540014E-3"/>
    <n v="4.0245829617113404E-3"/>
    <n v="2.6224938518286736E-3"/>
    <n v="9.3648165536334987E-5"/>
    <n v="2.7161420173650087E-3"/>
    <n v="0"/>
    <n v="0"/>
    <n v="0"/>
    <n v="2.7161420173650087E-3"/>
  </r>
  <r>
    <x v="6"/>
    <d v="2021-08-04T00:00:00"/>
    <d v="2021-08-24T00:00:00"/>
    <x v="9"/>
    <n v="9"/>
    <n v="17"/>
    <n v="3.0958330474702616E-4"/>
    <n v="5.1131360104153957E-4"/>
    <n v="8.6923312177061719E-3"/>
    <n v="5.2629161806994444E-3"/>
    <n v="3.4294150370067274E-3"/>
    <n v="1.2246298570136113E-4"/>
    <n v="3.5518780227080885E-3"/>
    <n v="0"/>
    <n v="0"/>
    <n v="0"/>
    <n v="3.5518780227080885E-3"/>
  </r>
  <r>
    <x v="7"/>
    <d v="2021-09-03T00:00:00"/>
    <d v="2021-09-24T00:00:00"/>
    <x v="9"/>
    <n v="9"/>
    <n v="17"/>
    <n v="3.0958330474702616E-4"/>
    <n v="5.1131360104153957E-4"/>
    <n v="8.6923312177061719E-3"/>
    <n v="5.2629161806994444E-3"/>
    <n v="3.4294150370067274E-3"/>
    <n v="1.2246298570136113E-4"/>
    <n v="3.5518780227080885E-3"/>
    <n v="0"/>
    <n v="0"/>
    <n v="0"/>
    <n v="3.5518780227080885E-3"/>
  </r>
  <r>
    <x v="8"/>
    <d v="2021-10-05T00:00:00"/>
    <d v="2021-10-25T00:00:00"/>
    <x v="9"/>
    <n v="9"/>
    <n v="16"/>
    <n v="3.0958330474702616E-4"/>
    <n v="5.1131360104153957E-4"/>
    <n v="8.181017616664633E-3"/>
    <n v="4.9533328759524186E-3"/>
    <n v="3.2276847407122144E-3"/>
    <n v="1.1525928066010459E-4"/>
    <n v="3.3429440213723189E-3"/>
    <n v="0"/>
    <n v="0"/>
    <n v="0"/>
    <n v="3.3429440213723189E-3"/>
  </r>
  <r>
    <x v="9"/>
    <d v="2021-11-03T00:00:00"/>
    <d v="2021-11-24T00:00:00"/>
    <x v="9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10"/>
    <d v="2021-12-03T00:00:00"/>
    <d v="2021-12-27T00:00:00"/>
    <x v="9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11"/>
    <d v="2022-01-05T00:00:00"/>
    <d v="2022-01-24T00:00:00"/>
    <x v="9"/>
    <n v="9"/>
    <n v="6"/>
    <n v="3.0958330474702616E-4"/>
    <n v="5.1131360104153957E-4"/>
    <n v="3.0678816062492372E-3"/>
    <n v="1.8574998284821569E-3"/>
    <n v="1.2103817777670803E-3"/>
    <n v="4.3222230247539222E-5"/>
    <n v="1.2536040080146195E-3"/>
    <n v="0"/>
    <n v="0"/>
    <n v="0"/>
    <n v="1.2536040080146195E-3"/>
  </r>
  <r>
    <x v="0"/>
    <d v="2021-02-03T00:00:00"/>
    <d v="2021-02-24T00:00:00"/>
    <x v="10"/>
    <n v="9"/>
    <n v="3"/>
    <n v="3.0958330474702616E-4"/>
    <n v="5.1131360104153957E-4"/>
    <n v="1.5339408031246186E-3"/>
    <n v="9.2874991424107844E-4"/>
    <n v="6.0519088888354015E-4"/>
    <n v="2.1611115123769611E-5"/>
    <n v="6.2680200400730976E-4"/>
    <n v="0"/>
    <n v="0"/>
    <n v="0"/>
    <n v="6.2680200400730976E-4"/>
  </r>
  <r>
    <x v="1"/>
    <d v="2021-03-03T00:00:00"/>
    <d v="2021-03-24T00:00:00"/>
    <x v="10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2"/>
    <d v="2021-04-05T00:00:00"/>
    <d v="2021-04-26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3"/>
    <d v="2021-05-05T00:00:00"/>
    <d v="2021-05-24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4"/>
    <d v="2021-06-03T00:00:00"/>
    <d v="2021-06-24T00:00:00"/>
    <x v="10"/>
    <n v="9"/>
    <n v="3"/>
    <n v="3.0958330474702616E-4"/>
    <n v="5.1131360104153957E-4"/>
    <n v="1.5339408031246186E-3"/>
    <n v="9.2874991424107844E-4"/>
    <n v="6.0519088888354015E-4"/>
    <n v="2.1611115123769611E-5"/>
    <n v="6.2680200400730976E-4"/>
    <n v="0"/>
    <n v="0"/>
    <n v="0"/>
    <n v="6.2680200400730976E-4"/>
  </r>
  <r>
    <x v="5"/>
    <d v="2021-07-06T00:00:00"/>
    <d v="2021-07-24T00:00:00"/>
    <x v="10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6"/>
    <d v="2021-08-04T00:00:00"/>
    <d v="2021-08-24T00:00:00"/>
    <x v="10"/>
    <n v="9"/>
    <n v="5"/>
    <n v="3.0958330474702616E-4"/>
    <n v="5.1131360104153957E-4"/>
    <n v="2.5565680052076979E-3"/>
    <n v="1.5479165237351309E-3"/>
    <n v="1.0086514814725671E-3"/>
    <n v="3.6018525206282686E-5"/>
    <n v="1.0446700066788497E-3"/>
    <n v="0"/>
    <n v="0"/>
    <n v="0"/>
    <n v="1.0446700066788497E-3"/>
  </r>
  <r>
    <x v="7"/>
    <d v="2021-09-03T00:00:00"/>
    <d v="2021-09-24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8"/>
    <d v="2021-10-05T00:00:00"/>
    <d v="2021-10-25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9"/>
    <d v="2021-11-03T00:00:00"/>
    <d v="2021-11-24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10"/>
    <d v="2021-12-03T00:00:00"/>
    <d v="2021-12-27T00:00:00"/>
    <x v="10"/>
    <n v="9"/>
    <n v="4"/>
    <n v="3.0958330474702616E-4"/>
    <n v="5.1131360104153957E-4"/>
    <n v="2.0452544041661583E-3"/>
    <n v="1.2383332189881047E-3"/>
    <n v="8.069211851780536E-4"/>
    <n v="2.8814820165026147E-5"/>
    <n v="8.3573600534307972E-4"/>
    <n v="0"/>
    <n v="0"/>
    <n v="0"/>
    <n v="8.3573600534307972E-4"/>
  </r>
  <r>
    <x v="11"/>
    <d v="2022-01-05T00:00:00"/>
    <d v="2022-01-24T00:00:00"/>
    <x v="10"/>
    <n v="9"/>
    <n v="1"/>
    <n v="3.0958330474702616E-4"/>
    <n v="5.1131360104153957E-4"/>
    <n v="5.1131360104153957E-4"/>
    <n v="3.0958330474702616E-4"/>
    <n v="2.017302962945134E-4"/>
    <n v="7.2037050412565368E-6"/>
    <n v="2.0893400133576993E-4"/>
    <n v="0"/>
    <n v="0"/>
    <n v="0"/>
    <n v="2.0893400133576993E-4"/>
  </r>
  <r>
    <x v="0"/>
    <d v="2021-02-03T00:00:00"/>
    <d v="2021-02-24T00:00:00"/>
    <x v="11"/>
    <n v="9"/>
    <n v="104"/>
    <n v="3.0958330474702616E-4"/>
    <n v="5.1131360104153957E-4"/>
    <n v="5.3176614508320112E-2"/>
    <n v="3.2196663693690723E-2"/>
    <n v="2.0979950814629389E-2"/>
    <n v="7.491853242906799E-4"/>
    <n v="2.1729136138920069E-2"/>
    <n v="0"/>
    <n v="0"/>
    <n v="0"/>
    <n v="2.1729136138920069E-2"/>
  </r>
  <r>
    <x v="1"/>
    <d v="2021-03-03T00:00:00"/>
    <d v="2021-03-24T00:00:00"/>
    <x v="11"/>
    <n v="9"/>
    <n v="133"/>
    <n v="3.0958330474702616E-4"/>
    <n v="5.1131360104153957E-4"/>
    <n v="6.8004708938524769E-2"/>
    <n v="4.1174579531354477E-2"/>
    <n v="2.6830129407170292E-2"/>
    <n v="9.5809277048711943E-4"/>
    <n v="2.7788222177657411E-2"/>
    <n v="0"/>
    <n v="0"/>
    <n v="0"/>
    <n v="2.7788222177657411E-2"/>
  </r>
  <r>
    <x v="2"/>
    <d v="2021-04-05T00:00:00"/>
    <d v="2021-04-26T00:00:00"/>
    <x v="11"/>
    <n v="9"/>
    <n v="87"/>
    <n v="3.0958330474702616E-4"/>
    <n v="5.1131360104153957E-4"/>
    <n v="4.4484283290613942E-2"/>
    <n v="2.6933747512991275E-2"/>
    <n v="1.7550535777622667E-2"/>
    <n v="6.2672233858931882E-4"/>
    <n v="1.8177258116211986E-2"/>
    <n v="0"/>
    <n v="0"/>
    <n v="0"/>
    <n v="1.8177258116211986E-2"/>
  </r>
  <r>
    <x v="3"/>
    <d v="2021-05-05T00:00:00"/>
    <d v="2021-05-24T00:00:00"/>
    <x v="11"/>
    <n v="9"/>
    <n v="77"/>
    <n v="3.0958330474702616E-4"/>
    <n v="5.1131360104153957E-4"/>
    <n v="3.9371147280198547E-2"/>
    <n v="2.3837914465521016E-2"/>
    <n v="1.5533232814677531E-2"/>
    <n v="5.5468528817675337E-4"/>
    <n v="1.6087918102854284E-2"/>
    <n v="0"/>
    <n v="0"/>
    <n v="0"/>
    <n v="1.6087918102854284E-2"/>
  </r>
  <r>
    <x v="4"/>
    <d v="2021-06-03T00:00:00"/>
    <d v="2021-06-24T00:00:00"/>
    <x v="11"/>
    <n v="9"/>
    <n v="104"/>
    <n v="3.0958330474702616E-4"/>
    <n v="5.1131360104153957E-4"/>
    <n v="5.3176614508320112E-2"/>
    <n v="3.2196663693690723E-2"/>
    <n v="2.0979950814629389E-2"/>
    <n v="7.491853242906799E-4"/>
    <n v="2.1729136138920069E-2"/>
    <n v="0"/>
    <n v="0"/>
    <n v="0"/>
    <n v="2.1729136138920069E-2"/>
  </r>
  <r>
    <x v="5"/>
    <d v="2021-07-06T00:00:00"/>
    <d v="2021-07-24T00:00:00"/>
    <x v="11"/>
    <n v="9"/>
    <n v="144"/>
    <n v="3.0958330474702616E-4"/>
    <n v="5.1131360104153957E-4"/>
    <n v="7.3629158549981699E-2"/>
    <n v="4.4579995883571769E-2"/>
    <n v="2.9049162666409931E-2"/>
    <n v="1.0373335259409415E-3"/>
    <n v="3.0086496192350872E-2"/>
    <n v="0"/>
    <n v="0"/>
    <n v="0"/>
    <n v="3.0086496192350872E-2"/>
  </r>
  <r>
    <x v="6"/>
    <d v="2021-08-04T00:00:00"/>
    <d v="2021-08-24T00:00:00"/>
    <x v="11"/>
    <n v="9"/>
    <n v="161"/>
    <n v="3.0958330474702616E-4"/>
    <n v="5.1131360104153957E-4"/>
    <n v="8.2321489767687869E-2"/>
    <n v="4.984291206427121E-2"/>
    <n v="3.247857770341666E-2"/>
    <n v="1.1597965116423024E-3"/>
    <n v="3.3638374215058962E-2"/>
    <n v="0"/>
    <n v="0"/>
    <n v="0"/>
    <n v="3.3638374215058962E-2"/>
  </r>
  <r>
    <x v="7"/>
    <d v="2021-09-03T00:00:00"/>
    <d v="2021-09-24T00:00:00"/>
    <x v="11"/>
    <n v="9"/>
    <n v="163"/>
    <n v="3.0958330474702616E-4"/>
    <n v="5.1131360104153957E-4"/>
    <n v="8.3344116969770954E-2"/>
    <n v="5.0462078673765266E-2"/>
    <n v="3.2882038296005688E-2"/>
    <n v="1.1742039217248156E-3"/>
    <n v="3.4056242217730501E-2"/>
    <n v="0"/>
    <n v="0"/>
    <n v="0"/>
    <n v="3.4056242217730501E-2"/>
  </r>
  <r>
    <x v="8"/>
    <d v="2021-10-05T00:00:00"/>
    <d v="2021-10-25T00:00:00"/>
    <x v="11"/>
    <n v="9"/>
    <n v="153"/>
    <n v="3.0958330474702616E-4"/>
    <n v="5.1131360104153957E-4"/>
    <n v="7.8230980959355559E-2"/>
    <n v="4.7366245626295003E-2"/>
    <n v="3.0864735333060556E-2"/>
    <n v="1.1021668713122501E-3"/>
    <n v="3.1966902204372809E-2"/>
    <n v="0"/>
    <n v="0"/>
    <n v="0"/>
    <n v="3.1966902204372809E-2"/>
  </r>
  <r>
    <x v="9"/>
    <d v="2021-11-03T00:00:00"/>
    <d v="2021-11-24T00:00:00"/>
    <x v="11"/>
    <n v="9"/>
    <n v="117"/>
    <n v="3.0958330474702616E-4"/>
    <n v="5.1131360104153957E-4"/>
    <n v="5.9823691321860127E-2"/>
    <n v="3.6221246655402065E-2"/>
    <n v="2.3602444666458063E-2"/>
    <n v="8.4283348982701486E-4"/>
    <n v="2.4445278156285076E-2"/>
    <n v="0"/>
    <n v="0"/>
    <n v="0"/>
    <n v="2.4445278156285076E-2"/>
  </r>
  <r>
    <x v="10"/>
    <d v="2021-12-03T00:00:00"/>
    <d v="2021-12-27T00:00:00"/>
    <x v="11"/>
    <n v="9"/>
    <n v="91"/>
    <n v="3.0958330474702616E-4"/>
    <n v="5.1131360104153957E-4"/>
    <n v="4.6529537694780097E-2"/>
    <n v="2.8172080731979382E-2"/>
    <n v="1.8357456962800715E-2"/>
    <n v="6.5553715875434494E-4"/>
    <n v="1.9012994121555059E-2"/>
    <n v="0"/>
    <n v="0"/>
    <n v="0"/>
    <n v="1.9012994121555059E-2"/>
  </r>
  <r>
    <x v="11"/>
    <d v="2022-01-05T00:00:00"/>
    <d v="2022-01-24T00:00:00"/>
    <x v="11"/>
    <n v="9"/>
    <n v="94"/>
    <n v="3.0958330474702616E-4"/>
    <n v="5.1131360104153957E-4"/>
    <n v="4.8063478497904717E-2"/>
    <n v="2.910083064622046E-2"/>
    <n v="1.8962647851684257E-2"/>
    <n v="6.7714827387811455E-4"/>
    <n v="1.9639796125562371E-2"/>
    <n v="0"/>
    <n v="0"/>
    <n v="0"/>
    <n v="1.9639796125562371E-2"/>
  </r>
  <r>
    <x v="0"/>
    <d v="2021-02-03T00:00:00"/>
    <d v="2021-02-24T00:00:00"/>
    <x v="12"/>
    <n v="9"/>
    <n v="11"/>
    <n v="3.0958330474702616E-4"/>
    <n v="5.1131360104153957E-4"/>
    <n v="5.6244496114569355E-3"/>
    <n v="3.405416352217288E-3"/>
    <n v="2.2190332592396476E-3"/>
    <n v="7.9240755453821915E-5"/>
    <n v="2.2982740146934694E-3"/>
    <n v="0"/>
    <n v="0"/>
    <n v="0"/>
    <n v="2.2982740146934694E-3"/>
  </r>
  <r>
    <x v="1"/>
    <d v="2021-03-03T00:00:00"/>
    <d v="2021-03-24T00:00:00"/>
    <x v="12"/>
    <n v="9"/>
    <n v="8"/>
    <n v="3.0958330474702616E-4"/>
    <n v="5.1131360104153957E-4"/>
    <n v="4.0905088083323165E-3"/>
    <n v="2.4766664379762093E-3"/>
    <n v="1.6138423703561072E-3"/>
    <n v="5.7629640330052294E-5"/>
    <n v="1.6714720106861594E-3"/>
    <n v="0"/>
    <n v="0"/>
    <n v="0"/>
    <n v="1.6714720106861594E-3"/>
  </r>
  <r>
    <x v="2"/>
    <d v="2021-04-05T00:00:00"/>
    <d v="2021-04-26T00:00:00"/>
    <x v="12"/>
    <n v="9"/>
    <n v="7"/>
    <n v="3.0958330474702616E-4"/>
    <n v="5.1131360104153957E-4"/>
    <n v="3.5791952072907769E-3"/>
    <n v="2.1670831332291831E-3"/>
    <n v="1.4121120740615938E-3"/>
    <n v="5.0425935288795758E-5"/>
    <n v="1.4625380093503896E-3"/>
    <n v="0"/>
    <n v="0"/>
    <n v="0"/>
    <n v="1.4625380093503896E-3"/>
  </r>
  <r>
    <x v="3"/>
    <d v="2021-05-05T00:00:00"/>
    <d v="2021-05-24T00:00:00"/>
    <x v="12"/>
    <n v="9"/>
    <n v="12"/>
    <n v="3.0958330474702616E-4"/>
    <n v="5.1131360104153957E-4"/>
    <n v="6.1357632124984744E-3"/>
    <n v="3.7149996569643138E-3"/>
    <n v="2.4207635555341606E-3"/>
    <n v="8.6444460495078445E-5"/>
    <n v="2.5072080160292391E-3"/>
    <n v="0"/>
    <n v="0"/>
    <n v="0"/>
    <n v="2.5072080160292391E-3"/>
  </r>
  <r>
    <x v="4"/>
    <d v="2021-06-03T00:00:00"/>
    <d v="2021-06-24T00:00:00"/>
    <x v="12"/>
    <n v="9"/>
    <n v="11"/>
    <n v="3.0958330474702616E-4"/>
    <n v="5.1131360104153957E-4"/>
    <n v="5.6244496114569355E-3"/>
    <n v="3.405416352217288E-3"/>
    <n v="2.2190332592396476E-3"/>
    <n v="7.9240755453821915E-5"/>
    <n v="2.2982740146934694E-3"/>
    <n v="0"/>
    <n v="0"/>
    <n v="0"/>
    <n v="2.2982740146934694E-3"/>
  </r>
  <r>
    <x v="5"/>
    <d v="2021-07-06T00:00:00"/>
    <d v="2021-07-24T00:00:00"/>
    <x v="12"/>
    <n v="9"/>
    <n v="13"/>
    <n v="3.0958330474702616E-4"/>
    <n v="5.1131360104153957E-4"/>
    <n v="6.647076813540014E-3"/>
    <n v="4.0245829617113404E-3"/>
    <n v="2.6224938518286736E-3"/>
    <n v="9.3648165536334987E-5"/>
    <n v="2.7161420173650087E-3"/>
    <n v="0"/>
    <n v="0"/>
    <n v="0"/>
    <n v="2.7161420173650087E-3"/>
  </r>
  <r>
    <x v="6"/>
    <d v="2021-08-04T00:00:00"/>
    <d v="2021-08-24T00:00:00"/>
    <x v="12"/>
    <n v="9"/>
    <n v="13"/>
    <n v="3.0958330474702616E-4"/>
    <n v="5.1131360104153957E-4"/>
    <n v="6.647076813540014E-3"/>
    <n v="4.0245829617113404E-3"/>
    <n v="2.6224938518286736E-3"/>
    <n v="9.3648165536334987E-5"/>
    <n v="2.7161420173650087E-3"/>
    <n v="0"/>
    <n v="0"/>
    <n v="0"/>
    <n v="2.7161420173650087E-3"/>
  </r>
  <r>
    <x v="7"/>
    <d v="2021-09-03T00:00:00"/>
    <d v="2021-09-24T00:00:00"/>
    <x v="12"/>
    <n v="9"/>
    <n v="12"/>
    <n v="3.0958330474702616E-4"/>
    <n v="5.1131360104153957E-4"/>
    <n v="6.1357632124984744E-3"/>
    <n v="3.7149996569643138E-3"/>
    <n v="2.4207635555341606E-3"/>
    <n v="8.6444460495078445E-5"/>
    <n v="2.5072080160292391E-3"/>
    <n v="0"/>
    <n v="0"/>
    <n v="0"/>
    <n v="2.5072080160292391E-3"/>
  </r>
  <r>
    <x v="8"/>
    <d v="2021-10-05T00:00:00"/>
    <d v="2021-10-25T00:00:00"/>
    <x v="12"/>
    <n v="9"/>
    <n v="13"/>
    <n v="3.0958330474702616E-4"/>
    <n v="5.1131360104153957E-4"/>
    <n v="6.647076813540014E-3"/>
    <n v="4.0245829617113404E-3"/>
    <n v="2.6224938518286736E-3"/>
    <n v="9.3648165536334987E-5"/>
    <n v="2.7161420173650087E-3"/>
    <n v="0"/>
    <n v="0"/>
    <n v="0"/>
    <n v="2.7161420173650087E-3"/>
  </r>
  <r>
    <x v="9"/>
    <d v="2021-11-03T00:00:00"/>
    <d v="2021-11-24T00:00:00"/>
    <x v="12"/>
    <n v="9"/>
    <n v="8"/>
    <n v="3.0958330474702616E-4"/>
    <n v="5.1131360104153957E-4"/>
    <n v="4.0905088083323165E-3"/>
    <n v="2.4766664379762093E-3"/>
    <n v="1.6138423703561072E-3"/>
    <n v="5.7629640330052294E-5"/>
    <n v="1.6714720106861594E-3"/>
    <n v="0"/>
    <n v="0"/>
    <n v="0"/>
    <n v="1.6714720106861594E-3"/>
  </r>
  <r>
    <x v="10"/>
    <d v="2021-12-03T00:00:00"/>
    <d v="2021-12-27T00:00:00"/>
    <x v="12"/>
    <n v="9"/>
    <n v="8"/>
    <n v="3.0958330474702616E-4"/>
    <n v="5.1131360104153957E-4"/>
    <n v="4.0905088083323165E-3"/>
    <n v="2.4766664379762093E-3"/>
    <n v="1.6138423703561072E-3"/>
    <n v="5.7629640330052294E-5"/>
    <n v="1.6714720106861594E-3"/>
    <n v="0"/>
    <n v="0"/>
    <n v="0"/>
    <n v="1.6714720106861594E-3"/>
  </r>
  <r>
    <x v="11"/>
    <d v="2022-01-05T00:00:00"/>
    <d v="2022-01-24T00:00:00"/>
    <x v="12"/>
    <n v="9"/>
    <n v="11"/>
    <n v="3.0958330474702616E-4"/>
    <n v="5.1131360104153957E-4"/>
    <n v="5.6244496114569355E-3"/>
    <n v="3.405416352217288E-3"/>
    <n v="2.2190332592396476E-3"/>
    <n v="7.9240755453821915E-5"/>
    <n v="2.2982740146934694E-3"/>
    <n v="0"/>
    <n v="0"/>
    <n v="0"/>
    <n v="2.2982740146934694E-3"/>
  </r>
  <r>
    <x v="0"/>
    <d v="2021-02-03T00:00:00"/>
    <d v="2021-02-24T00:00:00"/>
    <x v="13"/>
    <n v="9"/>
    <n v="20"/>
    <n v="3.0958330474702616E-4"/>
    <n v="5.1131360104153957E-4"/>
    <n v="1.0226272020830792E-2"/>
    <n v="6.1916660949405235E-3"/>
    <n v="4.0346059258902682E-3"/>
    <n v="1.4407410082513075E-4"/>
    <n v="4.1786800267153987E-3"/>
    <n v="0"/>
    <n v="0"/>
    <n v="0"/>
    <n v="4.1786800267153987E-3"/>
  </r>
  <r>
    <x v="1"/>
    <d v="2021-03-03T00:00:00"/>
    <d v="2021-03-24T00:00:00"/>
    <x v="13"/>
    <n v="9"/>
    <n v="23"/>
    <n v="3.0958330474702616E-4"/>
    <n v="5.1131360104153957E-4"/>
    <n v="1.176021282395541E-2"/>
    <n v="7.1204160091816017E-3"/>
    <n v="4.6397968147738082E-3"/>
    <n v="1.6568521594890036E-4"/>
    <n v="4.8054820307227089E-3"/>
    <n v="0"/>
    <n v="0"/>
    <n v="0"/>
    <n v="4.8054820307227089E-3"/>
  </r>
  <r>
    <x v="2"/>
    <d v="2021-04-05T00:00:00"/>
    <d v="2021-04-26T00:00:00"/>
    <x v="13"/>
    <n v="9"/>
    <n v="16"/>
    <n v="3.0958330474702616E-4"/>
    <n v="5.1131360104153957E-4"/>
    <n v="8.181017616664633E-3"/>
    <n v="4.9533328759524186E-3"/>
    <n v="3.2276847407122144E-3"/>
    <n v="1.1525928066010459E-4"/>
    <n v="3.3429440213723189E-3"/>
    <n v="0"/>
    <n v="0"/>
    <n v="0"/>
    <n v="3.3429440213723189E-3"/>
  </r>
  <r>
    <x v="3"/>
    <d v="2021-05-05T00:00:00"/>
    <d v="2021-05-24T00:00:00"/>
    <x v="13"/>
    <n v="9"/>
    <n v="20"/>
    <n v="3.0958330474702616E-4"/>
    <n v="5.1131360104153957E-4"/>
    <n v="1.0226272020830792E-2"/>
    <n v="6.1916660949405235E-3"/>
    <n v="4.0346059258902682E-3"/>
    <n v="1.4407410082513075E-4"/>
    <n v="4.1786800267153987E-3"/>
    <n v="0"/>
    <n v="0"/>
    <n v="0"/>
    <n v="4.1786800267153987E-3"/>
  </r>
  <r>
    <x v="4"/>
    <d v="2021-06-03T00:00:00"/>
    <d v="2021-06-24T00:00:00"/>
    <x v="13"/>
    <n v="9"/>
    <n v="27"/>
    <n v="3.0958330474702616E-4"/>
    <n v="5.1131360104153957E-4"/>
    <n v="1.3805467228121569E-2"/>
    <n v="8.3587492281697057E-3"/>
    <n v="5.4467179999518629E-3"/>
    <n v="1.945000361139265E-4"/>
    <n v="5.6412180360657892E-3"/>
    <n v="0"/>
    <n v="0"/>
    <n v="0"/>
    <n v="5.6412180360657892E-3"/>
  </r>
  <r>
    <x v="5"/>
    <d v="2021-07-06T00:00:00"/>
    <d v="2021-07-24T00:00:00"/>
    <x v="13"/>
    <n v="9"/>
    <n v="32"/>
    <n v="3.0958330474702616E-4"/>
    <n v="5.1131360104153957E-4"/>
    <n v="1.6362035233329266E-2"/>
    <n v="9.9066657519048373E-3"/>
    <n v="6.4553694814244288E-3"/>
    <n v="2.3051856132020918E-4"/>
    <n v="6.6858880427446378E-3"/>
    <n v="0"/>
    <n v="0"/>
    <n v="0"/>
    <n v="6.6858880427446378E-3"/>
  </r>
  <r>
    <x v="6"/>
    <d v="2021-08-04T00:00:00"/>
    <d v="2021-08-24T00:00:00"/>
    <x v="13"/>
    <n v="9"/>
    <n v="37"/>
    <n v="3.0958330474702616E-4"/>
    <n v="5.1131360104153957E-4"/>
    <n v="1.8918603238536964E-2"/>
    <n v="1.1454582275639969E-2"/>
    <n v="7.4640209628969948E-3"/>
    <n v="2.6653708652649188E-4"/>
    <n v="7.7305580494234864E-3"/>
    <n v="0"/>
    <n v="0"/>
    <n v="0"/>
    <n v="7.7305580494234864E-3"/>
  </r>
  <r>
    <x v="7"/>
    <d v="2021-09-03T00:00:00"/>
    <d v="2021-09-24T00:00:00"/>
    <x v="13"/>
    <n v="9"/>
    <n v="33"/>
    <n v="3.0958330474702616E-4"/>
    <n v="5.1131360104153957E-4"/>
    <n v="1.6873348834370805E-2"/>
    <n v="1.0216249056651864E-2"/>
    <n v="6.657099777718941E-3"/>
    <n v="2.3772226636146571E-4"/>
    <n v="6.894822044080407E-3"/>
    <n v="0"/>
    <n v="0"/>
    <n v="0"/>
    <n v="6.894822044080407E-3"/>
  </r>
  <r>
    <x v="8"/>
    <d v="2021-10-05T00:00:00"/>
    <d v="2021-10-25T00:00:00"/>
    <x v="13"/>
    <n v="9"/>
    <n v="37"/>
    <n v="3.0958330474702616E-4"/>
    <n v="5.1131360104153957E-4"/>
    <n v="1.8918603238536964E-2"/>
    <n v="1.1454582275639969E-2"/>
    <n v="7.4640209628969948E-3"/>
    <n v="2.6653708652649188E-4"/>
    <n v="7.7305580494234864E-3"/>
    <n v="0"/>
    <n v="0"/>
    <n v="0"/>
    <n v="7.7305580494234864E-3"/>
  </r>
  <r>
    <x v="9"/>
    <d v="2021-11-03T00:00:00"/>
    <d v="2021-11-24T00:00:00"/>
    <x v="13"/>
    <n v="9"/>
    <n v="27"/>
    <n v="3.0958330474702616E-4"/>
    <n v="5.1131360104153957E-4"/>
    <n v="1.3805467228121569E-2"/>
    <n v="8.3587492281697057E-3"/>
    <n v="5.4467179999518629E-3"/>
    <n v="1.945000361139265E-4"/>
    <n v="5.6412180360657892E-3"/>
    <n v="0"/>
    <n v="0"/>
    <n v="0"/>
    <n v="5.6412180360657892E-3"/>
  </r>
  <r>
    <x v="10"/>
    <d v="2021-12-03T00:00:00"/>
    <d v="2021-12-27T00:00:00"/>
    <x v="13"/>
    <n v="9"/>
    <n v="16"/>
    <n v="3.0958330474702616E-4"/>
    <n v="5.1131360104153957E-4"/>
    <n v="8.181017616664633E-3"/>
    <n v="4.9533328759524186E-3"/>
    <n v="3.2276847407122144E-3"/>
    <n v="1.1525928066010459E-4"/>
    <n v="3.3429440213723189E-3"/>
    <n v="0"/>
    <n v="0"/>
    <n v="0"/>
    <n v="3.3429440213723189E-3"/>
  </r>
  <r>
    <x v="11"/>
    <d v="2022-01-05T00:00:00"/>
    <d v="2022-01-24T00:00:00"/>
    <x v="13"/>
    <n v="9"/>
    <n v="19"/>
    <n v="3.0958330474702616E-4"/>
    <n v="5.1131360104153957E-4"/>
    <n v="9.7149584197892512E-3"/>
    <n v="5.8820827901934969E-3"/>
    <n v="3.8328756295957543E-3"/>
    <n v="1.3687039578387422E-4"/>
    <n v="3.9697460253796286E-3"/>
    <n v="0"/>
    <n v="0"/>
    <n v="0"/>
    <n v="3.9697460253796286E-3"/>
  </r>
  <r>
    <x v="0"/>
    <d v="2021-02-03T00:00:00"/>
    <d v="2021-02-24T00:00:00"/>
    <x v="14"/>
    <n v="9"/>
    <n v="35"/>
    <n v="3.0958330474702616E-4"/>
    <n v="5.1131360104153957E-4"/>
    <n v="1.7895976036453886E-2"/>
    <n v="1.0835415666145915E-2"/>
    <n v="7.0605603703079705E-3"/>
    <n v="2.5212967644397882E-4"/>
    <n v="7.3126900467519497E-3"/>
    <n v="0"/>
    <n v="0"/>
    <n v="0"/>
    <n v="7.3126900467519497E-3"/>
  </r>
  <r>
    <x v="1"/>
    <d v="2021-03-03T00:00:00"/>
    <d v="2021-03-24T00:00:00"/>
    <x v="14"/>
    <n v="9"/>
    <n v="33"/>
    <n v="3.0958330474702616E-4"/>
    <n v="5.1131360104153957E-4"/>
    <n v="1.6873348834370805E-2"/>
    <n v="1.0216249056651864E-2"/>
    <n v="6.657099777718941E-3"/>
    <n v="2.3772226636146571E-4"/>
    <n v="6.894822044080407E-3"/>
    <n v="0"/>
    <n v="0"/>
    <n v="0"/>
    <n v="6.894822044080407E-3"/>
  </r>
  <r>
    <x v="2"/>
    <d v="2021-04-05T00:00:00"/>
    <d v="2021-04-26T00:00:00"/>
    <x v="14"/>
    <n v="9"/>
    <n v="30"/>
    <n v="3.0958330474702616E-4"/>
    <n v="5.1131360104153957E-4"/>
    <n v="1.5339408031246187E-2"/>
    <n v="9.2874991424107857E-3"/>
    <n v="6.0519088888354011E-3"/>
    <n v="2.1611115123769612E-4"/>
    <n v="6.2680200400730968E-3"/>
    <n v="0"/>
    <n v="0"/>
    <n v="0"/>
    <n v="6.2680200400730968E-3"/>
  </r>
  <r>
    <x v="3"/>
    <d v="2021-05-05T00:00:00"/>
    <d v="2021-05-24T00:00:00"/>
    <x v="14"/>
    <n v="9"/>
    <n v="32"/>
    <n v="3.0958330474702616E-4"/>
    <n v="5.1131360104153957E-4"/>
    <n v="1.6362035233329266E-2"/>
    <n v="9.9066657519048373E-3"/>
    <n v="6.4553694814244288E-3"/>
    <n v="2.3051856132020918E-4"/>
    <n v="6.6858880427446378E-3"/>
    <n v="0"/>
    <n v="0"/>
    <n v="0"/>
    <n v="6.6858880427446378E-3"/>
  </r>
  <r>
    <x v="4"/>
    <d v="2021-06-03T00:00:00"/>
    <d v="2021-06-24T00:00:00"/>
    <x v="14"/>
    <n v="9"/>
    <n v="40"/>
    <n v="3.0958330474702616E-4"/>
    <n v="5.1131360104153957E-4"/>
    <n v="2.0452544041661583E-2"/>
    <n v="1.2383332189881047E-2"/>
    <n v="8.0692118517805365E-3"/>
    <n v="2.8814820165026149E-4"/>
    <n v="8.3573600534307974E-3"/>
    <n v="0"/>
    <n v="0"/>
    <n v="0"/>
    <n v="8.3573600534307974E-3"/>
  </r>
  <r>
    <x v="5"/>
    <d v="2021-07-06T00:00:00"/>
    <d v="2021-07-24T00:00:00"/>
    <x v="14"/>
    <n v="9"/>
    <n v="46"/>
    <n v="3.0958330474702616E-4"/>
    <n v="5.1131360104153957E-4"/>
    <n v="2.352042564791082E-2"/>
    <n v="1.4240832018363203E-2"/>
    <n v="9.2795936295476163E-3"/>
    <n v="3.3137043189780072E-4"/>
    <n v="9.6109640614454178E-3"/>
    <n v="0"/>
    <n v="0"/>
    <n v="0"/>
    <n v="9.6109640614454178E-3"/>
  </r>
  <r>
    <x v="6"/>
    <d v="2021-08-04T00:00:00"/>
    <d v="2021-08-24T00:00:00"/>
    <x v="14"/>
    <n v="9"/>
    <n v="48"/>
    <n v="3.0958330474702616E-4"/>
    <n v="5.1131360104153957E-4"/>
    <n v="2.4543052849993897E-2"/>
    <n v="1.4859998627857255E-2"/>
    <n v="9.6830542221366424E-3"/>
    <n v="3.4577784198031378E-4"/>
    <n v="1.0028832064116956E-2"/>
    <n v="0"/>
    <n v="0"/>
    <n v="0"/>
    <n v="1.0028832064116956E-2"/>
  </r>
  <r>
    <x v="7"/>
    <d v="2021-09-03T00:00:00"/>
    <d v="2021-09-24T00:00:00"/>
    <x v="14"/>
    <n v="9"/>
    <n v="50"/>
    <n v="3.0958330474702616E-4"/>
    <n v="5.1131360104153957E-4"/>
    <n v="2.5565680052076978E-2"/>
    <n v="1.5479165237351308E-2"/>
    <n v="1.008651481472567E-2"/>
    <n v="3.6018525206282689E-4"/>
    <n v="1.0446700066788496E-2"/>
    <n v="0"/>
    <n v="0"/>
    <n v="0"/>
    <n v="1.0446700066788496E-2"/>
  </r>
  <r>
    <x v="8"/>
    <d v="2021-10-05T00:00:00"/>
    <d v="2021-10-25T00:00:00"/>
    <x v="14"/>
    <n v="9"/>
    <n v="52"/>
    <n v="3.0958330474702616E-4"/>
    <n v="5.1131360104153957E-4"/>
    <n v="2.6588307254160056E-2"/>
    <n v="1.6098331846845362E-2"/>
    <n v="1.0489975407314694E-2"/>
    <n v="3.7459266214533995E-4"/>
    <n v="1.0864568069460035E-2"/>
    <n v="0"/>
    <n v="0"/>
    <n v="0"/>
    <n v="1.0864568069460035E-2"/>
  </r>
  <r>
    <x v="9"/>
    <d v="2021-11-03T00:00:00"/>
    <d v="2021-11-24T00:00:00"/>
    <x v="14"/>
    <n v="9"/>
    <n v="40"/>
    <n v="3.0958330474702616E-4"/>
    <n v="5.1131360104153957E-4"/>
    <n v="2.0452544041661583E-2"/>
    <n v="1.2383332189881047E-2"/>
    <n v="8.0692118517805365E-3"/>
    <n v="2.8814820165026149E-4"/>
    <n v="8.3573600534307974E-3"/>
    <n v="0"/>
    <n v="0"/>
    <n v="0"/>
    <n v="8.3573600534307974E-3"/>
  </r>
  <r>
    <x v="10"/>
    <d v="2021-12-03T00:00:00"/>
    <d v="2021-12-27T00:00:00"/>
    <x v="14"/>
    <n v="9"/>
    <n v="32"/>
    <n v="3.0958330474702616E-4"/>
    <n v="5.1131360104153957E-4"/>
    <n v="1.6362035233329266E-2"/>
    <n v="9.9066657519048373E-3"/>
    <n v="6.4553694814244288E-3"/>
    <n v="2.3051856132020918E-4"/>
    <n v="6.6858880427446378E-3"/>
    <n v="0"/>
    <n v="0"/>
    <n v="0"/>
    <n v="6.6858880427446378E-3"/>
  </r>
  <r>
    <x v="11"/>
    <d v="2022-01-05T00:00:00"/>
    <d v="2022-01-24T00:00:00"/>
    <x v="14"/>
    <n v="9"/>
    <n v="35"/>
    <n v="3.0958330474702616E-4"/>
    <n v="5.1131360104153957E-4"/>
    <n v="1.7895976036453886E-2"/>
    <n v="1.0835415666145915E-2"/>
    <n v="7.0605603703079705E-3"/>
    <n v="2.5212967644397882E-4"/>
    <n v="7.3126900467519497E-3"/>
    <n v="0"/>
    <n v="0"/>
    <n v="0"/>
    <n v="7.3126900467519497E-3"/>
  </r>
  <r>
    <x v="0"/>
    <d v="2021-02-03T00:00:00"/>
    <d v="2021-02-24T00:00:00"/>
    <x v="15"/>
    <n v="9"/>
    <n v="94"/>
    <n v="3.0958330474702616E-4"/>
    <n v="5.1131360104153957E-4"/>
    <n v="4.8063478497904717E-2"/>
    <n v="2.910083064622046E-2"/>
    <n v="1.8962647851684257E-2"/>
    <n v="6.7714827387811455E-4"/>
    <n v="1.9639796125562371E-2"/>
    <n v="0"/>
    <n v="0"/>
    <n v="0"/>
    <n v="1.9639796125562371E-2"/>
  </r>
  <r>
    <x v="1"/>
    <d v="2021-03-03T00:00:00"/>
    <d v="2021-03-24T00:00:00"/>
    <x v="15"/>
    <n v="9"/>
    <n v="100"/>
    <n v="3.0958330474702616E-4"/>
    <n v="5.1131360104153957E-4"/>
    <n v="5.1131360104153957E-2"/>
    <n v="3.0958330474702617E-2"/>
    <n v="2.017302962945134E-2"/>
    <n v="7.2037050412565378E-4"/>
    <n v="2.0893400133576993E-2"/>
    <n v="0"/>
    <n v="0"/>
    <n v="0"/>
    <n v="2.0893400133576993E-2"/>
  </r>
  <r>
    <x v="2"/>
    <d v="2021-04-05T00:00:00"/>
    <d v="2021-04-26T00:00:00"/>
    <x v="15"/>
    <n v="9"/>
    <n v="101"/>
    <n v="3.0958330474702616E-4"/>
    <n v="5.1131360104153957E-4"/>
    <n v="5.1642673705195499E-2"/>
    <n v="3.1267913779449645E-2"/>
    <n v="2.0374759925745854E-2"/>
    <n v="7.2757420916691028E-4"/>
    <n v="2.1102334134912765E-2"/>
    <n v="0"/>
    <n v="0"/>
    <n v="0"/>
    <n v="2.1102334134912765E-2"/>
  </r>
  <r>
    <x v="3"/>
    <d v="2021-05-05T00:00:00"/>
    <d v="2021-05-24T00:00:00"/>
    <x v="15"/>
    <n v="9"/>
    <n v="98"/>
    <n v="3.0958330474702616E-4"/>
    <n v="5.1131360104153957E-4"/>
    <n v="5.0108732902070879E-2"/>
    <n v="3.0339163865208563E-2"/>
    <n v="1.9769569036862316E-2"/>
    <n v="7.0596309404314067E-4"/>
    <n v="2.0475532130905458E-2"/>
    <n v="0"/>
    <n v="0"/>
    <n v="0"/>
    <n v="2.0475532130905458E-2"/>
  </r>
  <r>
    <x v="4"/>
    <d v="2021-06-03T00:00:00"/>
    <d v="2021-06-24T00:00:00"/>
    <x v="15"/>
    <n v="9"/>
    <n v="99"/>
    <n v="3.0958330474702616E-4"/>
    <n v="5.1131360104153957E-4"/>
    <n v="5.0620046503112415E-2"/>
    <n v="3.0648747169955592E-2"/>
    <n v="1.9971299333156823E-2"/>
    <n v="7.1316679908439728E-4"/>
    <n v="2.068446613224122E-2"/>
    <n v="0"/>
    <n v="0"/>
    <n v="0"/>
    <n v="2.068446613224122E-2"/>
  </r>
  <r>
    <x v="5"/>
    <d v="2021-07-06T00:00:00"/>
    <d v="2021-07-24T00:00:00"/>
    <x v="15"/>
    <n v="9"/>
    <n v="113"/>
    <n v="3.0958330474702616E-4"/>
    <n v="5.1131360104153957E-4"/>
    <n v="5.7778436917693972E-2"/>
    <n v="3.4982913436413958E-2"/>
    <n v="2.2795523481280014E-2"/>
    <n v="8.1401866966198874E-4"/>
    <n v="2.3609542150942003E-2"/>
    <n v="0"/>
    <n v="0"/>
    <n v="0"/>
    <n v="2.3609542150942003E-2"/>
  </r>
  <r>
    <x v="6"/>
    <d v="2021-08-04T00:00:00"/>
    <d v="2021-08-24T00:00:00"/>
    <x v="15"/>
    <n v="9"/>
    <n v="116"/>
    <n v="3.0958330474702616E-4"/>
    <n v="5.1131360104153957E-4"/>
    <n v="5.9312377720818592E-2"/>
    <n v="3.5911663350655036E-2"/>
    <n v="2.3400714370163556E-2"/>
    <n v="8.3562978478575836E-4"/>
    <n v="2.4236344154949314E-2"/>
    <n v="0"/>
    <n v="0"/>
    <n v="0"/>
    <n v="2.4236344154949314E-2"/>
  </r>
  <r>
    <x v="7"/>
    <d v="2021-09-03T00:00:00"/>
    <d v="2021-09-24T00:00:00"/>
    <x v="15"/>
    <n v="9"/>
    <n v="116"/>
    <n v="3.0958330474702616E-4"/>
    <n v="5.1131360104153957E-4"/>
    <n v="5.9312377720818592E-2"/>
    <n v="3.5911663350655036E-2"/>
    <n v="2.3400714370163556E-2"/>
    <n v="8.3562978478575836E-4"/>
    <n v="2.4236344154949314E-2"/>
    <n v="0"/>
    <n v="0"/>
    <n v="0"/>
    <n v="2.4236344154949314E-2"/>
  </r>
  <r>
    <x v="8"/>
    <d v="2021-10-05T00:00:00"/>
    <d v="2021-10-25T00:00:00"/>
    <x v="15"/>
    <n v="9"/>
    <n v="116"/>
    <n v="3.0958330474702616E-4"/>
    <n v="5.1131360104153957E-4"/>
    <n v="5.9312377720818592E-2"/>
    <n v="3.5911663350655036E-2"/>
    <n v="2.3400714370163556E-2"/>
    <n v="8.3562978478575836E-4"/>
    <n v="2.4236344154949314E-2"/>
    <n v="0"/>
    <n v="0"/>
    <n v="0"/>
    <n v="2.4236344154949314E-2"/>
  </r>
  <r>
    <x v="9"/>
    <d v="2021-11-03T00:00:00"/>
    <d v="2021-11-24T00:00:00"/>
    <x v="15"/>
    <n v="9"/>
    <n v="105"/>
    <n v="3.0958330474702616E-4"/>
    <n v="5.1131360104153957E-4"/>
    <n v="5.3687928109361654E-2"/>
    <n v="3.2506246998437745E-2"/>
    <n v="2.118168111092391E-2"/>
    <n v="7.563890293319364E-4"/>
    <n v="2.1938070140255846E-2"/>
    <n v="0"/>
    <n v="0"/>
    <n v="0"/>
    <n v="2.1938070140255846E-2"/>
  </r>
  <r>
    <x v="10"/>
    <d v="2021-12-03T00:00:00"/>
    <d v="2021-12-27T00:00:00"/>
    <x v="15"/>
    <n v="9"/>
    <n v="100"/>
    <n v="3.0958330474702616E-4"/>
    <n v="5.1131360104153957E-4"/>
    <n v="5.1131360104153957E-2"/>
    <n v="3.0958330474702617E-2"/>
    <n v="2.017302962945134E-2"/>
    <n v="7.2037050412565378E-4"/>
    <n v="2.0893400133576993E-2"/>
    <n v="0"/>
    <n v="0"/>
    <n v="0"/>
    <n v="2.0893400133576993E-2"/>
  </r>
  <r>
    <x v="11"/>
    <d v="2022-01-05T00:00:00"/>
    <d v="2022-01-24T00:00:00"/>
    <x v="15"/>
    <n v="9"/>
    <n v="103"/>
    <n v="3.0958330474702616E-4"/>
    <n v="5.1131360104153957E-4"/>
    <n v="5.2665300907278577E-2"/>
    <n v="3.1887080388943695E-2"/>
    <n v="2.0778220518334882E-2"/>
    <n v="7.419816192494234E-4"/>
    <n v="2.1520202137584304E-2"/>
    <n v="0"/>
    <n v="0"/>
    <n v="0"/>
    <n v="2.152020213758430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33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sqref="A1:IV65536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64</v>
      </c>
    </row>
    <row r="3" spans="1:2" x14ac:dyDescent="0.2">
      <c r="A3" s="2">
        <v>1</v>
      </c>
      <c r="B3" s="3" t="s">
        <v>66</v>
      </c>
    </row>
    <row r="4" spans="1:2" x14ac:dyDescent="0.2">
      <c r="A4" s="2">
        <v>2</v>
      </c>
      <c r="B4" s="3" t="s">
        <v>65</v>
      </c>
    </row>
    <row r="5" spans="1:2" x14ac:dyDescent="0.2">
      <c r="A5" s="2">
        <v>3</v>
      </c>
      <c r="B5" s="3" t="s">
        <v>67</v>
      </c>
    </row>
    <row r="6" spans="1:2" x14ac:dyDescent="0.2">
      <c r="A6" s="2">
        <v>4</v>
      </c>
      <c r="B6" s="4" t="s">
        <v>81</v>
      </c>
    </row>
    <row r="7" spans="1:2" x14ac:dyDescent="0.2">
      <c r="A7" s="2">
        <v>5</v>
      </c>
      <c r="B7" s="3" t="s">
        <v>68</v>
      </c>
    </row>
    <row r="8" spans="1:2" x14ac:dyDescent="0.2">
      <c r="A8" s="2">
        <v>6</v>
      </c>
      <c r="B8" s="3" t="s">
        <v>69</v>
      </c>
    </row>
    <row r="9" spans="1:2" x14ac:dyDescent="0.2">
      <c r="A9" s="2">
        <v>7</v>
      </c>
      <c r="B9" s="5" t="s">
        <v>70</v>
      </c>
    </row>
    <row r="10" spans="1:2" x14ac:dyDescent="0.2">
      <c r="A10" s="2">
        <v>8</v>
      </c>
      <c r="B10" s="3" t="s">
        <v>73</v>
      </c>
    </row>
    <row r="11" spans="1:2" x14ac:dyDescent="0.2">
      <c r="A11" s="2"/>
      <c r="B11" s="3" t="s">
        <v>74</v>
      </c>
    </row>
    <row r="12" spans="1:2" x14ac:dyDescent="0.2">
      <c r="A12" s="2"/>
      <c r="B12" s="5" t="s">
        <v>75</v>
      </c>
    </row>
    <row r="13" spans="1:2" x14ac:dyDescent="0.2">
      <c r="A13" s="2"/>
      <c r="B13" s="5" t="s">
        <v>76</v>
      </c>
    </row>
    <row r="14" spans="1:2" x14ac:dyDescent="0.2">
      <c r="A14" s="2">
        <v>9</v>
      </c>
      <c r="B14" s="3" t="s">
        <v>77</v>
      </c>
    </row>
    <row r="15" spans="1:2" x14ac:dyDescent="0.2">
      <c r="A15" s="2">
        <v>10</v>
      </c>
      <c r="B15" s="3" t="s">
        <v>79</v>
      </c>
    </row>
    <row r="16" spans="1:2" x14ac:dyDescent="0.2">
      <c r="A16" s="2">
        <v>11</v>
      </c>
      <c r="B16" s="3" t="s">
        <v>80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4"/>
  <sheetViews>
    <sheetView tabSelected="1" zoomScale="85" zoomScaleNormal="85" zoomScaleSheetLayoutView="100" workbookViewId="0">
      <selection activeCell="A7" sqref="A7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2" t="str">
        <f>+Transactions!B1</f>
        <v>AEPTCo Formula Rate -- FERC Docket ER18-194</v>
      </c>
      <c r="D1" s="252"/>
      <c r="E1" s="252"/>
      <c r="F1" s="252"/>
      <c r="G1" s="252"/>
      <c r="H1" s="252"/>
      <c r="I1" s="252"/>
      <c r="L1" s="6">
        <v>2022</v>
      </c>
    </row>
    <row r="2" spans="2:19" x14ac:dyDescent="0.2">
      <c r="C2" s="252" t="s">
        <v>101</v>
      </c>
      <c r="D2" s="252"/>
      <c r="E2" s="252"/>
      <c r="F2" s="252"/>
      <c r="G2" s="252"/>
      <c r="H2" s="252"/>
      <c r="I2" s="252"/>
    </row>
    <row r="3" spans="2:19" x14ac:dyDescent="0.2">
      <c r="C3" s="252" t="str">
        <f>"for period 01/01/"&amp;F8&amp;" - 12/31/"&amp;F8</f>
        <v>for period 01/01/2021 - 12/31/2021</v>
      </c>
      <c r="D3" s="252"/>
      <c r="E3" s="252"/>
      <c r="F3" s="252"/>
      <c r="G3" s="252"/>
      <c r="H3" s="252"/>
      <c r="I3" s="252"/>
    </row>
    <row r="4" spans="2:19" x14ac:dyDescent="0.2">
      <c r="C4" s="252" t="s">
        <v>83</v>
      </c>
      <c r="D4" s="252"/>
      <c r="E4" s="252"/>
      <c r="F4" s="252"/>
      <c r="G4" s="252"/>
      <c r="H4" s="252"/>
      <c r="I4" s="252"/>
    </row>
    <row r="5" spans="2:19" x14ac:dyDescent="0.2">
      <c r="C5" s="7" t="str">
        <f>"Prepared:  May 24_, "&amp;L1&amp;""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95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"&amp;F8+1&amp;" Update of May "&amp;F8+1&amp;")"</f>
        <v>(per 2022 Update of May 2022)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30.418417191223799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50.270308000000007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3.0958330474702616E-4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5.1131360104153957E-4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94</v>
      </c>
      <c r="I19" s="56" t="s">
        <v>93</v>
      </c>
      <c r="J19" s="57" t="s">
        <v>96</v>
      </c>
      <c r="K19" s="58" t="s">
        <v>97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51</v>
      </c>
      <c r="D20" s="60" t="str">
        <f>"Actual Charge
("&amp;F8&amp;" True-Up)"</f>
        <v>Actual Charge
(2021 True-Up)</v>
      </c>
      <c r="E20" s="61" t="str">
        <f>"Invoiced for
CY"&amp;F8&amp;" Transmission Service"</f>
        <v>Invoiced for
CY2021 Transmission Service</v>
      </c>
      <c r="F20" s="60" t="s">
        <v>40</v>
      </c>
      <c r="G20" s="62" t="s">
        <v>7</v>
      </c>
      <c r="H20" s="62" t="s">
        <v>88</v>
      </c>
      <c r="I20" s="63" t="s">
        <v>45</v>
      </c>
      <c r="J20" s="64" t="s">
        <v>98</v>
      </c>
      <c r="K20" s="65" t="s">
        <v>100</v>
      </c>
      <c r="N20" s="52"/>
      <c r="O20" s="53"/>
      <c r="P20" s="53"/>
      <c r="Q20" s="53"/>
      <c r="R20" s="53"/>
      <c r="S20" s="53"/>
    </row>
    <row r="21" spans="2:19" x14ac:dyDescent="0.2">
      <c r="B21" s="66"/>
      <c r="C21" s="67" t="s">
        <v>14</v>
      </c>
      <c r="D21" s="68">
        <f>GETPIVOTDATA("Sum of "&amp;T(Transactions!$J$19),Pivot!$A$3,"Customer",C21)</f>
        <v>4.6360804206436397</v>
      </c>
      <c r="E21" s="68">
        <f>GETPIVOTDATA("Sum of "&amp;T(Transactions!$K$19),Pivot!$A$3,"Customer",C21)</f>
        <v>2.8069918241412863</v>
      </c>
      <c r="F21" s="68">
        <f>D21-E21</f>
        <v>1.8290885965023533</v>
      </c>
      <c r="G21" s="53">
        <f>+GETPIVOTDATA("Sum of "&amp;T(Transactions!$M$19),Pivot!$A$3,"Customer","AECC")</f>
        <v>6.5315993609073017E-2</v>
      </c>
      <c r="H21" s="53">
        <f>GETPIVOTDATA("Sum of "&amp;T(Transactions!$Q$19),Pivot!$A$3,"Customer","AECC")</f>
        <v>0</v>
      </c>
      <c r="I21" s="69">
        <f>F21+G21-H21</f>
        <v>1.8944045901114264</v>
      </c>
      <c r="J21" s="70"/>
      <c r="K21" s="71">
        <f>I21+J21</f>
        <v>1.8944045901114264</v>
      </c>
      <c r="L21" s="66"/>
      <c r="N21" s="52"/>
      <c r="O21" s="53"/>
      <c r="P21" s="53"/>
      <c r="Q21" s="53"/>
      <c r="R21" s="53"/>
      <c r="S21" s="53"/>
    </row>
    <row r="22" spans="2:19" x14ac:dyDescent="0.2">
      <c r="B22" s="66"/>
      <c r="C22" s="72" t="s">
        <v>85</v>
      </c>
      <c r="D22" s="68">
        <f>GETPIVOTDATA("Sum of "&amp;T(Transactions!$J$19),Pivot!$A$3,"Customer",C22)</f>
        <v>0.24287396049473134</v>
      </c>
      <c r="E22" s="68">
        <f>GETPIVOTDATA("Sum of "&amp;T(Transactions!$K$19),Pivot!$A$3,"Customer",C22)</f>
        <v>0.14705206975483742</v>
      </c>
      <c r="F22" s="68">
        <f>D22-E22</f>
        <v>9.5821890739893917E-2</v>
      </c>
      <c r="G22" s="53">
        <f>+GETPIVOTDATA("Sum of "&amp;T(Transactions!$M$19),Pivot!$A$3,"Customer","AECI")</f>
        <v>3.4217598945968561E-3</v>
      </c>
      <c r="H22" s="53">
        <f>GETPIVOTDATA("Sum of "&amp;T(Transactions!$Q$19),Pivot!$A$3,"Customer",C22)</f>
        <v>0</v>
      </c>
      <c r="I22" s="69">
        <f t="shared" ref="I22:I33" si="0">F22+G22-H22</f>
        <v>9.9243650634490768E-2</v>
      </c>
      <c r="J22" s="70"/>
      <c r="K22" s="71">
        <f t="shared" ref="K22:K39" si="1">I22+J22</f>
        <v>9.9243650634490768E-2</v>
      </c>
      <c r="L22" s="66"/>
      <c r="N22" s="52"/>
      <c r="O22" s="53"/>
      <c r="P22" s="53"/>
      <c r="Q22" s="53"/>
      <c r="R22" s="53"/>
      <c r="S22" s="53"/>
    </row>
    <row r="23" spans="2:19" x14ac:dyDescent="0.2">
      <c r="B23" s="66"/>
      <c r="C23" s="72" t="s">
        <v>55</v>
      </c>
      <c r="D23" s="68">
        <f>GETPIVOTDATA("Sum of "&amp;T(Transactions!$J$19),Pivot!$A$3,"Customer",C23)</f>
        <v>0.73015582228731857</v>
      </c>
      <c r="E23" s="68">
        <f>GETPIVOTDATA("Sum of "&amp;T(Transactions!$K$19),Pivot!$A$3,"Customer",C23)</f>
        <v>0.44208495917875335</v>
      </c>
      <c r="F23" s="68">
        <f t="shared" ref="F23:F35" si="2">D23-E23</f>
        <v>0.28807086310856522</v>
      </c>
      <c r="G23" s="53">
        <f>+GETPIVOTDATA("Sum of "&amp;T(Transactions!$M$19),Pivot!$A$3,"Customer","Bentonville, AR")</f>
        <v>1.0286890798914336E-2</v>
      </c>
      <c r="H23" s="53">
        <f>GETPIVOTDATA("Sum of "&amp;T(Transactions!$Q$19),Pivot!$A$3,"Customer",C23)</f>
        <v>0</v>
      </c>
      <c r="I23" s="69">
        <f t="shared" si="0"/>
        <v>0.29835775390747954</v>
      </c>
      <c r="J23" s="70"/>
      <c r="K23" s="71">
        <f t="shared" si="1"/>
        <v>0.29835775390747954</v>
      </c>
      <c r="L23" s="66"/>
      <c r="N23" s="52"/>
      <c r="O23" s="53"/>
      <c r="P23" s="53"/>
      <c r="Q23" s="53"/>
      <c r="R23" s="53"/>
      <c r="S23" s="53"/>
    </row>
    <row r="24" spans="2:19" x14ac:dyDescent="0.2">
      <c r="B24" s="66"/>
      <c r="C24" s="67" t="s">
        <v>17</v>
      </c>
      <c r="D24" s="68">
        <f>GETPIVOTDATA("Sum of "&amp;T(Transactions!$J$19),Pivot!$A$3,"Customer",C24)</f>
        <v>0.64476645091338147</v>
      </c>
      <c r="E24" s="68">
        <f>GETPIVOTDATA("Sum of "&amp;T(Transactions!$K$19),Pivot!$A$3,"Customer",C24)</f>
        <v>0.39038454728600003</v>
      </c>
      <c r="F24" s="68">
        <f t="shared" si="2"/>
        <v>0.25438190362738144</v>
      </c>
      <c r="G24" s="53">
        <f>+GETPIVOTDATA("Sum of "&amp;T(Transactions!$M$19),Pivot!$A$3,"Customer","Coffeyville, KS")</f>
        <v>9.0838720570244943E-3</v>
      </c>
      <c r="H24" s="53">
        <f>GETPIVOTDATA("Sum of "&amp;T(Transactions!$Q$19),Pivot!$A$3,"Customer",C24)</f>
        <v>0</v>
      </c>
      <c r="I24" s="69">
        <f t="shared" si="0"/>
        <v>0.26346577568440593</v>
      </c>
      <c r="J24" s="70"/>
      <c r="K24" s="71">
        <f t="shared" si="1"/>
        <v>0.26346577568440593</v>
      </c>
      <c r="L24" s="66"/>
      <c r="N24" s="52"/>
      <c r="O24" s="53"/>
      <c r="P24" s="53"/>
      <c r="Q24" s="53"/>
      <c r="R24" s="53"/>
      <c r="S24" s="53"/>
    </row>
    <row r="25" spans="2:19" x14ac:dyDescent="0.2">
      <c r="B25" s="66"/>
      <c r="C25" s="72" t="s">
        <v>13</v>
      </c>
      <c r="D25" s="68">
        <f>GETPIVOTDATA("Sum of "&amp;T(Transactions!$J$19),Pivot!$A$3,"Customer",C25)</f>
        <v>5.1233622824362275</v>
      </c>
      <c r="E25" s="68">
        <f>GETPIVOTDATA("Sum of "&amp;T(Transactions!$K$19),Pivot!$A$3,"Customer",C25)</f>
        <v>3.1020247135652026</v>
      </c>
      <c r="F25" s="68">
        <f t="shared" si="2"/>
        <v>2.0213375688710249</v>
      </c>
      <c r="G25" s="53">
        <f>+GETPIVOTDATA("Sum of "&amp;T(Transactions!$M$19),Pivot!$A$3,"Customer","ETEC")</f>
        <v>7.218112451339051E-2</v>
      </c>
      <c r="H25" s="53">
        <f>GETPIVOTDATA("Sum of "&amp;T(Transactions!$Q$19),Pivot!$A$3,"Customer",C25)</f>
        <v>0</v>
      </c>
      <c r="I25" s="69">
        <f t="shared" si="0"/>
        <v>2.0935186933844152</v>
      </c>
      <c r="J25" s="70"/>
      <c r="K25" s="71">
        <f t="shared" si="1"/>
        <v>2.0935186933844152</v>
      </c>
      <c r="L25" s="66"/>
      <c r="N25" s="54"/>
      <c r="O25" s="53"/>
      <c r="P25" s="53"/>
      <c r="Q25" s="53"/>
      <c r="R25" s="53"/>
      <c r="S25" s="53"/>
    </row>
    <row r="26" spans="2:19" x14ac:dyDescent="0.2">
      <c r="B26" s="66"/>
      <c r="C26" s="67" t="s">
        <v>15</v>
      </c>
      <c r="D26" s="68">
        <f>GETPIVOTDATA("Sum of "&amp;T(Transactions!$J$19),Pivot!$A$3,"Customer",C26)</f>
        <v>5.5733182513527817E-2</v>
      </c>
      <c r="E26" s="68">
        <f>GETPIVOTDATA("Sum of "&amp;T(Transactions!$K$19),Pivot!$A$3,"Customer",C26)</f>
        <v>3.3744580217425851E-2</v>
      </c>
      <c r="F26" s="68">
        <f t="shared" si="2"/>
        <v>2.1988602296101965E-2</v>
      </c>
      <c r="G26" s="53">
        <f>+GETPIVOTDATA("Sum of "&amp;T(Transactions!$M$19),Pivot!$A$3,"Customer","Greenbelt")</f>
        <v>7.8520384949696263E-4</v>
      </c>
      <c r="H26" s="53">
        <f>GETPIVOTDATA("Sum of "&amp;T(Transactions!$Q$19),Pivot!$A$3,"Customer",C26)</f>
        <v>0</v>
      </c>
      <c r="I26" s="69">
        <f t="shared" si="0"/>
        <v>2.2773806145598929E-2</v>
      </c>
      <c r="J26" s="70"/>
      <c r="K26" s="71">
        <f t="shared" si="1"/>
        <v>2.2773806145598929E-2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">
      <c r="B27" s="66"/>
      <c r="C27" s="67" t="s">
        <v>58</v>
      </c>
      <c r="D27" s="68">
        <f>GETPIVOTDATA("Sum of "&amp;T(Transactions!$J$19),Pivot!$A$3,"Customer",C27)</f>
        <v>0.24185133329264821</v>
      </c>
      <c r="E27" s="68">
        <f>GETPIVOTDATA("Sum of "&amp;T(Transactions!$K$19),Pivot!$A$3,"Customer",C27)</f>
        <v>0.14643290314534335</v>
      </c>
      <c r="F27" s="68">
        <f t="shared" si="2"/>
        <v>9.5418430147304861E-2</v>
      </c>
      <c r="G27" s="53">
        <f>+GETPIVOTDATA("Sum of "&amp;T(Transactions!$M$19),Pivot!$A$3,"Customer","Hope, AR")</f>
        <v>3.4073524845143421E-3</v>
      </c>
      <c r="H27" s="53">
        <f>GETPIVOTDATA("Sum of "&amp;T(Transactions!$Q$19),Pivot!$A$3,"Customer",C27)</f>
        <v>0</v>
      </c>
      <c r="I27" s="69">
        <f t="shared" si="0"/>
        <v>9.8825782631819209E-2</v>
      </c>
      <c r="J27" s="70"/>
      <c r="K27" s="71">
        <f t="shared" si="1"/>
        <v>9.8825782631819209E-2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">
      <c r="B28" s="66"/>
      <c r="C28" s="67" t="s">
        <v>16</v>
      </c>
      <c r="D28" s="68">
        <f>GETPIVOTDATA("Sum of "&amp;T(Transactions!$J$19),Pivot!$A$3,"Customer",C28)</f>
        <v>2.352042564791082E-2</v>
      </c>
      <c r="E28" s="68">
        <f>GETPIVOTDATA("Sum of "&amp;T(Transactions!$K$19),Pivot!$A$3,"Customer",C28)</f>
        <v>1.4240832018363205E-2</v>
      </c>
      <c r="F28" s="68">
        <f t="shared" si="2"/>
        <v>9.2795936295476146E-3</v>
      </c>
      <c r="G28" s="53">
        <f>+GETPIVOTDATA("Sum of "&amp;T(Transactions!$M$19),Pivot!$A$3,"Customer","Lighthouse")</f>
        <v>3.3137043189780072E-4</v>
      </c>
      <c r="H28" s="53">
        <f>GETPIVOTDATA("Sum of "&amp;T(Transactions!$Q$19),Pivot!$A$3,"Customer",C28)</f>
        <v>0</v>
      </c>
      <c r="I28" s="69">
        <f t="shared" si="0"/>
        <v>9.6109640614454161E-3</v>
      </c>
      <c r="J28" s="70"/>
      <c r="K28" s="71">
        <f t="shared" si="1"/>
        <v>9.6109640614454161E-3</v>
      </c>
      <c r="L28" s="66"/>
      <c r="N28" s="52"/>
      <c r="O28" s="53"/>
      <c r="P28" s="53"/>
      <c r="Q28" s="53"/>
      <c r="R28" s="53"/>
      <c r="S28" s="53"/>
    </row>
    <row r="29" spans="2:19" x14ac:dyDescent="0.2">
      <c r="B29" s="66"/>
      <c r="C29" s="72" t="s">
        <v>57</v>
      </c>
      <c r="D29" s="68">
        <f>GETPIVOTDATA("Sum of "&amp;T(Transactions!$J$19),Pivot!$A$3,"Customer",C29)</f>
        <v>0.15697327551975263</v>
      </c>
      <c r="E29" s="68">
        <f>GETPIVOTDATA("Sum of "&amp;T(Transactions!$K$19),Pivot!$A$3,"Customer",C29)</f>
        <v>9.5042074557337028E-2</v>
      </c>
      <c r="F29" s="68">
        <f t="shared" si="2"/>
        <v>6.1931200962415597E-2</v>
      </c>
      <c r="G29" s="53">
        <f>+GETPIVOTDATA("Sum of "&amp;T(Transactions!$M$19),Pivot!$A$3,"Customer","Minden, LA")</f>
        <v>2.2115374476657564E-3</v>
      </c>
      <c r="H29" s="53">
        <f>GETPIVOTDATA("Sum of "&amp;T(Transactions!$Q$19),Pivot!$A$3,"Customer",C29)</f>
        <v>0</v>
      </c>
      <c r="I29" s="69">
        <f t="shared" si="0"/>
        <v>6.4142738410081349E-2</v>
      </c>
      <c r="J29" s="70"/>
      <c r="K29" s="71">
        <f t="shared" si="1"/>
        <v>6.4142738410081349E-2</v>
      </c>
      <c r="L29" s="66"/>
      <c r="N29" s="52"/>
      <c r="O29" s="53"/>
      <c r="P29" s="53"/>
      <c r="Q29" s="53"/>
      <c r="R29" s="53"/>
      <c r="S29" s="53"/>
    </row>
    <row r="30" spans="2:19" x14ac:dyDescent="0.2">
      <c r="B30" s="66"/>
      <c r="C30" s="72" t="s">
        <v>19</v>
      </c>
      <c r="D30" s="68">
        <f>GETPIVOTDATA("Sum of "&amp;T(Transactions!$J$19),Pivot!$A$3,"Customer",C30)</f>
        <v>0.27099620855201595</v>
      </c>
      <c r="E30" s="68">
        <f>GETPIVOTDATA("Sum of "&amp;T(Transactions!$K$19),Pivot!$A$3,"Customer",C30)</f>
        <v>0.16407915151592387</v>
      </c>
      <c r="F30" s="68">
        <f t="shared" si="2"/>
        <v>0.10691705703609208</v>
      </c>
      <c r="G30" s="53">
        <f>+GETPIVOTDATA("Sum of "&amp;T(Transactions!$M$19),Pivot!$A$3,"Customer","OG&amp;E")</f>
        <v>3.8179636718659649E-3</v>
      </c>
      <c r="H30" s="53">
        <f>GETPIVOTDATA("Sum of "&amp;T(Transactions!$Q$19),Pivot!$A$3,"Customer",C30)</f>
        <v>0</v>
      </c>
      <c r="I30" s="69">
        <f t="shared" si="0"/>
        <v>0.11073502070795804</v>
      </c>
      <c r="J30" s="70"/>
      <c r="K30" s="71">
        <f t="shared" si="1"/>
        <v>0.11073502070795804</v>
      </c>
      <c r="L30" s="66"/>
    </row>
    <row r="31" spans="2:19" x14ac:dyDescent="0.2">
      <c r="B31" s="66"/>
      <c r="C31" s="67" t="s">
        <v>8</v>
      </c>
      <c r="D31" s="68">
        <f>GETPIVOTDATA("Sum of "&amp;T(Transactions!$J$19),Pivot!$A$3,"Customer",C31)</f>
        <v>0.6370967468977583</v>
      </c>
      <c r="E31" s="68">
        <f>GETPIVOTDATA("Sum of "&amp;T(Transactions!$K$19),Pivot!$A$3,"Customer",C31)</f>
        <v>0.38574079771479453</v>
      </c>
      <c r="F31" s="68">
        <f t="shared" si="2"/>
        <v>0.25135594918296378</v>
      </c>
      <c r="G31" s="53">
        <f>+GETPIVOTDATA("Sum of "&amp;T(Transactions!$M$19),Pivot!$A$3,"Customer","OMPA")</f>
        <v>8.9758164814056456E-3</v>
      </c>
      <c r="H31" s="53">
        <f>GETPIVOTDATA("Sum of "&amp;T(Transactions!$Q$19),Pivot!$A$3,"Customer",C31)</f>
        <v>0</v>
      </c>
      <c r="I31" s="69">
        <f t="shared" si="0"/>
        <v>0.26033176566436944</v>
      </c>
      <c r="J31" s="70"/>
      <c r="K31" s="71">
        <f t="shared" si="1"/>
        <v>0.26033176566436944</v>
      </c>
      <c r="L31" s="66"/>
    </row>
    <row r="32" spans="2:19" x14ac:dyDescent="0.2">
      <c r="B32" s="66"/>
      <c r="C32" s="67" t="s">
        <v>56</v>
      </c>
      <c r="D32" s="68">
        <f>GETPIVOTDATA("Sum of "&amp;T(Transactions!$J$19),Pivot!$A$3,"Customer",C32)</f>
        <v>6.4936827332275529E-2</v>
      </c>
      <c r="E32" s="68">
        <f>GETPIVOTDATA("Sum of "&amp;T(Transactions!$K$19),Pivot!$A$3,"Customer",C32)</f>
        <v>3.9317079702872321E-2</v>
      </c>
      <c r="F32" s="68">
        <f t="shared" si="2"/>
        <v>2.5619747629403208E-2</v>
      </c>
      <c r="G32" s="53">
        <f>+GETPIVOTDATA("Sum of "&amp;T(Transactions!$M$19),Pivot!$A$3,"Customer","Prescott, AR")</f>
        <v>9.1487054023958031E-4</v>
      </c>
      <c r="H32" s="53">
        <f>GETPIVOTDATA("Sum of "&amp;T(Transactions!$Q$19),Pivot!$A$3,"Customer",C32)</f>
        <v>0</v>
      </c>
      <c r="I32" s="69">
        <f t="shared" si="0"/>
        <v>2.6534618169642789E-2</v>
      </c>
      <c r="J32" s="70"/>
      <c r="K32" s="71">
        <f t="shared" si="1"/>
        <v>2.6534618169642789E-2</v>
      </c>
      <c r="L32" s="66"/>
    </row>
    <row r="33" spans="2:13" x14ac:dyDescent="0.2">
      <c r="B33" s="66"/>
      <c r="C33" s="74" t="s">
        <v>9</v>
      </c>
      <c r="D33" s="68">
        <f>GETPIVOTDATA("Sum of "&amp;T(Transactions!$J$19),Pivot!$A$3,"Customer",C33)</f>
        <v>0.25258891891452051</v>
      </c>
      <c r="E33" s="68">
        <f>GETPIVOTDATA("Sum of "&amp;T(Transactions!$K$19),Pivot!$A$3,"Customer",C33)</f>
        <v>0.15293415254503093</v>
      </c>
      <c r="F33" s="68">
        <f t="shared" si="2"/>
        <v>9.9654766369489584E-2</v>
      </c>
      <c r="G33" s="53">
        <f>+GETPIVOTDATA("Sum of "&amp;T(Transactions!$M$19),Pivot!$A$3,"Customer","WFEC")</f>
        <v>3.5586302903807287E-3</v>
      </c>
      <c r="H33" s="53">
        <f>GETPIVOTDATA("Sum of "&amp;T(Transactions!$Q$19),Pivot!$A$3,"Customer",C33)</f>
        <v>0</v>
      </c>
      <c r="I33" s="69">
        <f t="shared" si="0"/>
        <v>0.10321339665987031</v>
      </c>
      <c r="J33" s="70"/>
      <c r="K33" s="71">
        <f t="shared" si="1"/>
        <v>0.10321339665987031</v>
      </c>
      <c r="L33" s="66"/>
    </row>
    <row r="34" spans="2:13" ht="24" x14ac:dyDescent="0.2">
      <c r="C34" s="75" t="s">
        <v>43</v>
      </c>
      <c r="D34" s="76">
        <f t="shared" ref="D34:J34" si="3">SUM(D21:D33)</f>
        <v>13.080935855445711</v>
      </c>
      <c r="E34" s="76">
        <f t="shared" si="3"/>
        <v>7.9200696853431705</v>
      </c>
      <c r="F34" s="76">
        <f t="shared" si="3"/>
        <v>5.1608661701025387</v>
      </c>
      <c r="G34" s="77">
        <f t="shared" si="3"/>
        <v>0.18429238607046594</v>
      </c>
      <c r="H34" s="77">
        <f t="shared" si="3"/>
        <v>0</v>
      </c>
      <c r="I34" s="78">
        <f t="shared" si="3"/>
        <v>5.3451585561730024</v>
      </c>
      <c r="J34" s="79">
        <f t="shared" si="3"/>
        <v>0</v>
      </c>
      <c r="K34" s="80">
        <f t="shared" si="1"/>
        <v>5.3451585561730024</v>
      </c>
    </row>
    <row r="35" spans="2:13" x14ac:dyDescent="0.2">
      <c r="C35" s="81" t="s">
        <v>21</v>
      </c>
      <c r="D35" s="68">
        <f>GETPIVOTDATA("Sum of "&amp;T(Transactions!$J$19),Pivot!$A$3,"Customer",C35)</f>
        <v>18.603122746694332</v>
      </c>
      <c r="E35" s="68">
        <f>GETPIVOTDATA("Sum of "&amp;T(Transactions!$K$19),Pivot!$A$3,"Customer",C35)</f>
        <v>11.263569376611054</v>
      </c>
      <c r="F35" s="68">
        <f t="shared" si="2"/>
        <v>7.3395533700832782</v>
      </c>
      <c r="G35" s="53">
        <f>+GETPIVOTDATA("Sum of "&amp;T(Transactions!$M$19),Pivot!$A$3,"Customer","PSO")</f>
        <v>0.26209240051603661</v>
      </c>
      <c r="H35" s="53">
        <f>GETPIVOTDATA("Sum of "&amp;T(Transactions!$Q$19),Pivot!$A$3,"Customer",C35)</f>
        <v>0</v>
      </c>
      <c r="I35" s="69">
        <f>F35+G35-H35</f>
        <v>7.6016457705993146</v>
      </c>
      <c r="J35" s="70"/>
      <c r="K35" s="71">
        <f t="shared" si="1"/>
        <v>7.6016457705993146</v>
      </c>
    </row>
    <row r="36" spans="2:13" x14ac:dyDescent="0.2">
      <c r="C36" s="82" t="s">
        <v>22</v>
      </c>
      <c r="D36" s="68">
        <f>GETPIVOTDATA("Sum of "&amp;T(Transactions!$J$19),Pivot!$A$3,"Customer",C36)</f>
        <v>17.795247257048704</v>
      </c>
      <c r="E36" s="68">
        <f>GETPIVOTDATA("Sum of "&amp;T(Transactions!$K$19),Pivot!$A$3,"Customer",C36)</f>
        <v>10.774427755110754</v>
      </c>
      <c r="F36" s="68">
        <f>D36-E36</f>
        <v>7.0208195019379502</v>
      </c>
      <c r="G36" s="53">
        <f>+GETPIVOTDATA("Sum of "&amp;T(Transactions!$M$19),Pivot!$A$3,"Customer","SWEPCO")</f>
        <v>0.25071054655085129</v>
      </c>
      <c r="H36" s="53">
        <f>GETPIVOTDATA("Sum of "&amp;T(Transactions!$Q$19),Pivot!$A$3,"Customer",C36)</f>
        <v>0</v>
      </c>
      <c r="I36" s="69">
        <f>F36+G36-H36</f>
        <v>7.2715300484888017</v>
      </c>
      <c r="J36" s="70"/>
      <c r="K36" s="71">
        <f t="shared" si="1"/>
        <v>7.2715300484888017</v>
      </c>
    </row>
    <row r="37" spans="2:13" x14ac:dyDescent="0.2">
      <c r="C37" s="83" t="s">
        <v>82</v>
      </c>
      <c r="D37" s="68">
        <f>GETPIVOTDATA("Sum of "&amp;T(Transactions!$J$19),Pivot!$A$3,"Customer",C37)</f>
        <v>0.7884455728060541</v>
      </c>
      <c r="E37" s="68">
        <f>GETPIVOTDATA("Sum of "&amp;T(Transactions!$K$19),Pivot!$A$3,"Customer",C37)</f>
        <v>0.47737745591991443</v>
      </c>
      <c r="F37" s="68">
        <f>D37-E37</f>
        <v>0.31106811688613967</v>
      </c>
      <c r="G37" s="53">
        <f>+GETPIVOTDATA("Sum of "&amp;T(Transactions!$M$19),Pivot!$A$3,"Customer","SWEPCO-Valley")</f>
        <v>1.1108113173617581E-2</v>
      </c>
      <c r="H37" s="53">
        <f>GETPIVOTDATA("Sum of "&amp;T(Transactions!$Q$19),Pivot!$A$3,"Customer",C37)</f>
        <v>0</v>
      </c>
      <c r="I37" s="69">
        <f>F37+G37-H37</f>
        <v>0.32217623005975726</v>
      </c>
      <c r="J37" s="70"/>
      <c r="K37" s="71">
        <f t="shared" si="1"/>
        <v>0.32217623005975726</v>
      </c>
    </row>
    <row r="38" spans="2:13" ht="24" x14ac:dyDescent="0.2">
      <c r="C38" s="84" t="s">
        <v>52</v>
      </c>
      <c r="D38" s="85">
        <f t="shared" ref="D38:I38" si="4">SUM(D35:D37)</f>
        <v>37.186815576549094</v>
      </c>
      <c r="E38" s="85">
        <f t="shared" si="4"/>
        <v>22.515374587641723</v>
      </c>
      <c r="F38" s="85">
        <f t="shared" si="4"/>
        <v>14.671440988907369</v>
      </c>
      <c r="G38" s="86">
        <f t="shared" si="4"/>
        <v>0.52391106024050549</v>
      </c>
      <c r="H38" s="86">
        <f t="shared" si="4"/>
        <v>0</v>
      </c>
      <c r="I38" s="87">
        <f t="shared" si="4"/>
        <v>15.195352049147873</v>
      </c>
      <c r="J38" s="88">
        <f>SUM(J35:J37)</f>
        <v>0</v>
      </c>
      <c r="K38" s="89">
        <f t="shared" si="1"/>
        <v>15.195352049147873</v>
      </c>
    </row>
    <row r="39" spans="2:13" ht="23.25" customHeight="1" thickBot="1" x14ac:dyDescent="0.25">
      <c r="C39" s="90" t="s">
        <v>44</v>
      </c>
      <c r="D39" s="91">
        <f t="shared" ref="D39:I39" si="5">SUM(D34,D38)</f>
        <v>50.267751431994803</v>
      </c>
      <c r="E39" s="92">
        <f t="shared" si="5"/>
        <v>30.435444272984896</v>
      </c>
      <c r="F39" s="91">
        <f t="shared" si="5"/>
        <v>19.832307159009908</v>
      </c>
      <c r="G39" s="92">
        <f t="shared" si="5"/>
        <v>0.70820344631097143</v>
      </c>
      <c r="H39" s="92">
        <f t="shared" si="5"/>
        <v>0</v>
      </c>
      <c r="I39" s="93">
        <f t="shared" si="5"/>
        <v>20.540510605320875</v>
      </c>
      <c r="J39" s="94">
        <f>SUM(J34,J38)</f>
        <v>0</v>
      </c>
      <c r="K39" s="95">
        <f t="shared" si="1"/>
        <v>20.540510605320875</v>
      </c>
      <c r="M39" s="96"/>
    </row>
    <row r="40" spans="2:13" x14ac:dyDescent="0.2">
      <c r="E40" s="52"/>
      <c r="F40" s="52"/>
      <c r="G40" s="52"/>
      <c r="H40" s="52"/>
    </row>
    <row r="41" spans="2:13" x14ac:dyDescent="0.2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">
      <c r="C42" s="3"/>
      <c r="K42" s="97"/>
    </row>
    <row r="43" spans="2:13" x14ac:dyDescent="0.2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H25" sqref="H25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customWidth="1"/>
    <col min="16" max="16384" width="8.7109375" style="1"/>
  </cols>
  <sheetData>
    <row r="3" spans="1:15" x14ac:dyDescent="0.2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">
      <c r="A4" s="100" t="s">
        <v>0</v>
      </c>
      <c r="B4" s="100" t="s">
        <v>24</v>
      </c>
      <c r="C4" s="102">
        <v>44197</v>
      </c>
      <c r="D4" s="103">
        <v>44228</v>
      </c>
      <c r="E4" s="103">
        <v>44256</v>
      </c>
      <c r="F4" s="103">
        <v>44287</v>
      </c>
      <c r="G4" s="103">
        <v>44317</v>
      </c>
      <c r="H4" s="103">
        <v>44348</v>
      </c>
      <c r="I4" s="103">
        <v>44378</v>
      </c>
      <c r="J4" s="103">
        <v>44409</v>
      </c>
      <c r="K4" s="103">
        <v>44440</v>
      </c>
      <c r="L4" s="103">
        <v>44470</v>
      </c>
      <c r="M4" s="103">
        <v>44501</v>
      </c>
      <c r="N4" s="103">
        <v>44531</v>
      </c>
      <c r="O4" s="104" t="s">
        <v>18</v>
      </c>
    </row>
    <row r="5" spans="1:15" x14ac:dyDescent="0.2">
      <c r="A5" s="98" t="s">
        <v>14</v>
      </c>
      <c r="B5" s="98" t="s">
        <v>71</v>
      </c>
      <c r="C5" s="105">
        <v>0.39217753199886085</v>
      </c>
      <c r="D5" s="106">
        <v>0.54301504430611502</v>
      </c>
      <c r="E5" s="106">
        <v>0.30627684702388219</v>
      </c>
      <c r="F5" s="106">
        <v>0.22855717966556818</v>
      </c>
      <c r="G5" s="106">
        <v>0.30832210142804833</v>
      </c>
      <c r="H5" s="106">
        <v>0.42950342487489324</v>
      </c>
      <c r="I5" s="106">
        <v>0.47347639456446566</v>
      </c>
      <c r="J5" s="106">
        <v>0.48216872578217179</v>
      </c>
      <c r="K5" s="106">
        <v>0.46682931775092562</v>
      </c>
      <c r="L5" s="106">
        <v>0.34820456230928842</v>
      </c>
      <c r="M5" s="106">
        <v>0.33337646787908382</v>
      </c>
      <c r="N5" s="106">
        <v>0.32417282306033607</v>
      </c>
      <c r="O5" s="107">
        <v>4.6360804206436397</v>
      </c>
    </row>
    <row r="6" spans="1:15" x14ac:dyDescent="0.2">
      <c r="A6" s="236"/>
      <c r="B6" s="108" t="s">
        <v>25</v>
      </c>
      <c r="C6" s="240">
        <v>0.15472713725789178</v>
      </c>
      <c r="D6" s="241">
        <v>0.21423757466477322</v>
      </c>
      <c r="E6" s="241">
        <v>0.12083644748041353</v>
      </c>
      <c r="F6" s="241">
        <v>9.01734424436475E-2</v>
      </c>
      <c r="G6" s="241">
        <v>0.12164336866559156</v>
      </c>
      <c r="H6" s="241">
        <v>0.16945344888739128</v>
      </c>
      <c r="I6" s="241">
        <v>0.18680225436871944</v>
      </c>
      <c r="J6" s="241">
        <v>0.19023166940572611</v>
      </c>
      <c r="K6" s="241">
        <v>0.18417976051689072</v>
      </c>
      <c r="L6" s="241">
        <v>0.13737833177656361</v>
      </c>
      <c r="M6" s="241">
        <v>0.13152815318402275</v>
      </c>
      <c r="N6" s="241">
        <v>0.12789700785072147</v>
      </c>
      <c r="O6" s="242">
        <v>1.8290885965023531</v>
      </c>
    </row>
    <row r="7" spans="1:15" x14ac:dyDescent="0.2">
      <c r="A7" s="236"/>
      <c r="B7" s="108" t="s">
        <v>26</v>
      </c>
      <c r="C7" s="240">
        <v>5.5252417666437634E-3</v>
      </c>
      <c r="D7" s="241">
        <v>7.6503347538144422E-3</v>
      </c>
      <c r="E7" s="241">
        <v>4.3150193197126659E-3</v>
      </c>
      <c r="F7" s="241">
        <v>3.2200561534416719E-3</v>
      </c>
      <c r="G7" s="241">
        <v>4.3438341398776914E-3</v>
      </c>
      <c r="H7" s="241">
        <v>6.0511122346554912E-3</v>
      </c>
      <c r="I7" s="241">
        <v>6.6706308682035528E-3</v>
      </c>
      <c r="J7" s="241">
        <v>6.7930938539049147E-3</v>
      </c>
      <c r="K7" s="241">
        <v>6.5769827026672181E-3</v>
      </c>
      <c r="L7" s="241">
        <v>4.9057231330957018E-3</v>
      </c>
      <c r="M7" s="241">
        <v>4.6968156868992623E-3</v>
      </c>
      <c r="N7" s="241">
        <v>4.5671489961566442E-3</v>
      </c>
      <c r="O7" s="242">
        <v>6.5315993609073017E-2</v>
      </c>
    </row>
    <row r="8" spans="1:15" x14ac:dyDescent="0.2">
      <c r="A8" s="236"/>
      <c r="B8" s="108" t="s">
        <v>27</v>
      </c>
      <c r="C8" s="240">
        <v>0.16025237902453554</v>
      </c>
      <c r="D8" s="241">
        <v>0.22188790941858766</v>
      </c>
      <c r="E8" s="241">
        <v>0.1251514668001262</v>
      </c>
      <c r="F8" s="241">
        <v>9.3393498597089175E-2</v>
      </c>
      <c r="G8" s="241">
        <v>0.12598720280546924</v>
      </c>
      <c r="H8" s="241">
        <v>0.17550456112204676</v>
      </c>
      <c r="I8" s="241">
        <v>0.19347288523692299</v>
      </c>
      <c r="J8" s="241">
        <v>0.19702476325963103</v>
      </c>
      <c r="K8" s="241">
        <v>0.19075674321955793</v>
      </c>
      <c r="L8" s="241">
        <v>0.14228405490965931</v>
      </c>
      <c r="M8" s="241">
        <v>0.136224968870922</v>
      </c>
      <c r="N8" s="241">
        <v>0.13246415684687812</v>
      </c>
      <c r="O8" s="242">
        <v>1.8944045901114261</v>
      </c>
    </row>
    <row r="9" spans="1:15" x14ac:dyDescent="0.2">
      <c r="A9" s="236"/>
      <c r="B9" s="108" t="s">
        <v>50</v>
      </c>
      <c r="C9" s="109">
        <v>0.23745039474096907</v>
      </c>
      <c r="D9" s="97">
        <v>0.3287774696413418</v>
      </c>
      <c r="E9" s="97">
        <v>0.18544039954346866</v>
      </c>
      <c r="F9" s="97">
        <v>0.13838373722192068</v>
      </c>
      <c r="G9" s="97">
        <v>0.18667873276245678</v>
      </c>
      <c r="H9" s="97">
        <v>0.26004997598750196</v>
      </c>
      <c r="I9" s="97">
        <v>0.28667414019574622</v>
      </c>
      <c r="J9" s="97">
        <v>0.29193705637644568</v>
      </c>
      <c r="K9" s="97">
        <v>0.2826495572340349</v>
      </c>
      <c r="L9" s="97">
        <v>0.21082623053272481</v>
      </c>
      <c r="M9" s="97">
        <v>0.20184831469506107</v>
      </c>
      <c r="N9" s="97">
        <v>0.1962758152096146</v>
      </c>
      <c r="O9" s="110">
        <v>2.8069918241412863</v>
      </c>
    </row>
    <row r="10" spans="1:15" x14ac:dyDescent="0.2">
      <c r="A10" s="236"/>
      <c r="B10" s="108" t="s">
        <v>89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">
      <c r="A11" s="236"/>
      <c r="B11" s="108" t="s">
        <v>91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">
      <c r="A12" s="98" t="s">
        <v>17</v>
      </c>
      <c r="B12" s="98" t="s">
        <v>71</v>
      </c>
      <c r="C12" s="105">
        <v>4.8063478497904717E-2</v>
      </c>
      <c r="D12" s="106">
        <v>5.1131360104153957E-2</v>
      </c>
      <c r="E12" s="106">
        <v>5.1642673705195499E-2</v>
      </c>
      <c r="F12" s="106">
        <v>5.0108732902070879E-2</v>
      </c>
      <c r="G12" s="106">
        <v>5.0620046503112415E-2</v>
      </c>
      <c r="H12" s="106">
        <v>5.7778436917693972E-2</v>
      </c>
      <c r="I12" s="106">
        <v>5.9312377720818592E-2</v>
      </c>
      <c r="J12" s="106">
        <v>5.9312377720818592E-2</v>
      </c>
      <c r="K12" s="106">
        <v>5.9312377720818592E-2</v>
      </c>
      <c r="L12" s="106">
        <v>5.3687928109361654E-2</v>
      </c>
      <c r="M12" s="106">
        <v>5.1131360104153957E-2</v>
      </c>
      <c r="N12" s="106">
        <v>5.2665300907278577E-2</v>
      </c>
      <c r="O12" s="107">
        <v>0.64476645091338147</v>
      </c>
    </row>
    <row r="13" spans="1:15" x14ac:dyDescent="0.2">
      <c r="A13" s="236"/>
      <c r="B13" s="108" t="s">
        <v>25</v>
      </c>
      <c r="C13" s="240">
        <v>1.8962647851684257E-2</v>
      </c>
      <c r="D13" s="241">
        <v>2.017302962945134E-2</v>
      </c>
      <c r="E13" s="241">
        <v>2.0374759925745854E-2</v>
      </c>
      <c r="F13" s="241">
        <v>1.9769569036862316E-2</v>
      </c>
      <c r="G13" s="241">
        <v>1.9971299333156823E-2</v>
      </c>
      <c r="H13" s="241">
        <v>2.2795523481280014E-2</v>
      </c>
      <c r="I13" s="241">
        <v>2.3400714370163556E-2</v>
      </c>
      <c r="J13" s="241">
        <v>2.3400714370163556E-2</v>
      </c>
      <c r="K13" s="241">
        <v>2.3400714370163556E-2</v>
      </c>
      <c r="L13" s="241">
        <v>2.118168111092391E-2</v>
      </c>
      <c r="M13" s="241">
        <v>2.017302962945134E-2</v>
      </c>
      <c r="N13" s="241">
        <v>2.0778220518334882E-2</v>
      </c>
      <c r="O13" s="242">
        <v>0.25438190362738139</v>
      </c>
    </row>
    <row r="14" spans="1:15" x14ac:dyDescent="0.2">
      <c r="A14" s="236"/>
      <c r="B14" s="108" t="s">
        <v>26</v>
      </c>
      <c r="C14" s="240">
        <v>6.7714827387811455E-4</v>
      </c>
      <c r="D14" s="241">
        <v>7.2037050412565378E-4</v>
      </c>
      <c r="E14" s="241">
        <v>7.2757420916691028E-4</v>
      </c>
      <c r="F14" s="241">
        <v>7.0596309404314067E-4</v>
      </c>
      <c r="G14" s="241">
        <v>7.1316679908439728E-4</v>
      </c>
      <c r="H14" s="241">
        <v>8.1401866966198874E-4</v>
      </c>
      <c r="I14" s="241">
        <v>8.3562978478575836E-4</v>
      </c>
      <c r="J14" s="241">
        <v>8.3562978478575836E-4</v>
      </c>
      <c r="K14" s="241">
        <v>8.3562978478575836E-4</v>
      </c>
      <c r="L14" s="241">
        <v>7.563890293319364E-4</v>
      </c>
      <c r="M14" s="241">
        <v>7.2037050412565378E-4</v>
      </c>
      <c r="N14" s="241">
        <v>7.419816192494234E-4</v>
      </c>
      <c r="O14" s="242">
        <v>9.0838720570244943E-3</v>
      </c>
    </row>
    <row r="15" spans="1:15" x14ac:dyDescent="0.2">
      <c r="A15" s="236"/>
      <c r="B15" s="108" t="s">
        <v>27</v>
      </c>
      <c r="C15" s="240">
        <v>1.9639796125562371E-2</v>
      </c>
      <c r="D15" s="241">
        <v>2.0893400133576993E-2</v>
      </c>
      <c r="E15" s="241">
        <v>2.1102334134912765E-2</v>
      </c>
      <c r="F15" s="241">
        <v>2.0475532130905458E-2</v>
      </c>
      <c r="G15" s="241">
        <v>2.068446613224122E-2</v>
      </c>
      <c r="H15" s="241">
        <v>2.3609542150942003E-2</v>
      </c>
      <c r="I15" s="241">
        <v>2.4236344154949314E-2</v>
      </c>
      <c r="J15" s="241">
        <v>2.4236344154949314E-2</v>
      </c>
      <c r="K15" s="241">
        <v>2.4236344154949314E-2</v>
      </c>
      <c r="L15" s="241">
        <v>2.1938070140255846E-2</v>
      </c>
      <c r="M15" s="241">
        <v>2.0893400133576993E-2</v>
      </c>
      <c r="N15" s="241">
        <v>2.1520202137584304E-2</v>
      </c>
      <c r="O15" s="242">
        <v>0.26346577568440593</v>
      </c>
    </row>
    <row r="16" spans="1:15" x14ac:dyDescent="0.2">
      <c r="A16" s="236"/>
      <c r="B16" s="108" t="s">
        <v>50</v>
      </c>
      <c r="C16" s="109">
        <v>2.910083064622046E-2</v>
      </c>
      <c r="D16" s="97">
        <v>3.0958330474702617E-2</v>
      </c>
      <c r="E16" s="97">
        <v>3.1267913779449645E-2</v>
      </c>
      <c r="F16" s="97">
        <v>3.0339163865208563E-2</v>
      </c>
      <c r="G16" s="97">
        <v>3.0648747169955592E-2</v>
      </c>
      <c r="H16" s="97">
        <v>3.4982913436413958E-2</v>
      </c>
      <c r="I16" s="97">
        <v>3.5911663350655036E-2</v>
      </c>
      <c r="J16" s="97">
        <v>3.5911663350655036E-2</v>
      </c>
      <c r="K16" s="97">
        <v>3.5911663350655036E-2</v>
      </c>
      <c r="L16" s="97">
        <v>3.2506246998437745E-2</v>
      </c>
      <c r="M16" s="97">
        <v>3.0958330474702617E-2</v>
      </c>
      <c r="N16" s="97">
        <v>3.1887080388943695E-2</v>
      </c>
      <c r="O16" s="110">
        <v>0.39038454728600003</v>
      </c>
    </row>
    <row r="17" spans="1:15" x14ac:dyDescent="0.2">
      <c r="A17" s="236"/>
      <c r="B17" s="108" t="s">
        <v>89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">
      <c r="A18" s="236"/>
      <c r="B18" s="108" t="s">
        <v>91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">
      <c r="A19" s="98" t="s">
        <v>13</v>
      </c>
      <c r="B19" s="98" t="s">
        <v>71</v>
      </c>
      <c r="C19" s="105">
        <v>0.49750813381341802</v>
      </c>
      <c r="D19" s="106">
        <v>0.68413759819357989</v>
      </c>
      <c r="E19" s="106">
        <v>0.40393774482281625</v>
      </c>
      <c r="F19" s="106">
        <v>0.28889218458846988</v>
      </c>
      <c r="G19" s="106">
        <v>0.32519545026241914</v>
      </c>
      <c r="H19" s="106">
        <v>0.43205999288010094</v>
      </c>
      <c r="I19" s="106">
        <v>0.458648300134261</v>
      </c>
      <c r="J19" s="106">
        <v>0.45967092733634407</v>
      </c>
      <c r="K19" s="106">
        <v>0.46222749534155178</v>
      </c>
      <c r="L19" s="106">
        <v>0.35024981671345462</v>
      </c>
      <c r="M19" s="106">
        <v>0.36712316554782543</v>
      </c>
      <c r="N19" s="106">
        <v>0.39371147280198548</v>
      </c>
      <c r="O19" s="107">
        <v>5.1233622824362275</v>
      </c>
    </row>
    <row r="20" spans="1:15" x14ac:dyDescent="0.2">
      <c r="A20" s="236"/>
      <c r="B20" s="108" t="s">
        <v>25</v>
      </c>
      <c r="C20" s="240">
        <v>0.19628357829456156</v>
      </c>
      <c r="D20" s="241">
        <v>0.26991513644205889</v>
      </c>
      <c r="E20" s="241">
        <v>0.15936693407266558</v>
      </c>
      <c r="F20" s="241">
        <v>0.11397761740640008</v>
      </c>
      <c r="G20" s="241">
        <v>0.1283004684433105</v>
      </c>
      <c r="H20" s="241">
        <v>0.17046210036886383</v>
      </c>
      <c r="I20" s="241">
        <v>0.18095207577617856</v>
      </c>
      <c r="J20" s="241">
        <v>0.18135553636876756</v>
      </c>
      <c r="K20" s="241">
        <v>0.18236418785024011</v>
      </c>
      <c r="L20" s="241">
        <v>0.13818525296174169</v>
      </c>
      <c r="M20" s="241">
        <v>0.14484235273946064</v>
      </c>
      <c r="N20" s="241">
        <v>0.15533232814677533</v>
      </c>
      <c r="O20" s="242">
        <v>2.0213375688710244</v>
      </c>
    </row>
    <row r="21" spans="1:15" x14ac:dyDescent="0.2">
      <c r="A21" s="236"/>
      <c r="B21" s="108" t="s">
        <v>26</v>
      </c>
      <c r="C21" s="240">
        <v>7.0092050051426104E-3</v>
      </c>
      <c r="D21" s="241">
        <v>9.6385573452012468E-3</v>
      </c>
      <c r="E21" s="241">
        <v>5.6909269825926641E-3</v>
      </c>
      <c r="F21" s="241">
        <v>4.0700933483099437E-3</v>
      </c>
      <c r="G21" s="241">
        <v>4.5815564062391574E-3</v>
      </c>
      <c r="H21" s="241">
        <v>6.0871307598617738E-3</v>
      </c>
      <c r="I21" s="241">
        <v>6.4617234220071141E-3</v>
      </c>
      <c r="J21" s="241">
        <v>6.4761308320896273E-3</v>
      </c>
      <c r="K21" s="241">
        <v>6.5121493572959099E-3</v>
      </c>
      <c r="L21" s="241">
        <v>4.9345379532607283E-3</v>
      </c>
      <c r="M21" s="241">
        <v>5.1722602196221943E-3</v>
      </c>
      <c r="N21" s="241">
        <v>5.5468528817675337E-3</v>
      </c>
      <c r="O21" s="242">
        <v>7.218112451339051E-2</v>
      </c>
    </row>
    <row r="22" spans="1:15" x14ac:dyDescent="0.2">
      <c r="A22" s="236"/>
      <c r="B22" s="108" t="s">
        <v>27</v>
      </c>
      <c r="C22" s="240">
        <v>0.20329278329970416</v>
      </c>
      <c r="D22" s="241">
        <v>0.27955369378726014</v>
      </c>
      <c r="E22" s="241">
        <v>0.16505786105525824</v>
      </c>
      <c r="F22" s="241">
        <v>0.11804771075471003</v>
      </c>
      <c r="G22" s="241">
        <v>0.13288202484954967</v>
      </c>
      <c r="H22" s="241">
        <v>0.17654923112872561</v>
      </c>
      <c r="I22" s="241">
        <v>0.18741379919818568</v>
      </c>
      <c r="J22" s="241">
        <v>0.18783166720085717</v>
      </c>
      <c r="K22" s="241">
        <v>0.18887633720753602</v>
      </c>
      <c r="L22" s="241">
        <v>0.14311979091500243</v>
      </c>
      <c r="M22" s="241">
        <v>0.15001461295908283</v>
      </c>
      <c r="N22" s="241">
        <v>0.16087918102854287</v>
      </c>
      <c r="O22" s="242">
        <v>2.0935186933844148</v>
      </c>
    </row>
    <row r="23" spans="1:15" x14ac:dyDescent="0.2">
      <c r="A23" s="236"/>
      <c r="B23" s="108" t="s">
        <v>50</v>
      </c>
      <c r="C23" s="109">
        <v>0.30122455551885646</v>
      </c>
      <c r="D23" s="97">
        <v>0.414222461751521</v>
      </c>
      <c r="E23" s="97">
        <v>0.24457081075015066</v>
      </c>
      <c r="F23" s="97">
        <v>0.1749145671820698</v>
      </c>
      <c r="G23" s="97">
        <v>0.19689498181910864</v>
      </c>
      <c r="H23" s="97">
        <v>0.26159789251123711</v>
      </c>
      <c r="I23" s="97">
        <v>0.27769622435808244</v>
      </c>
      <c r="J23" s="97">
        <v>0.27831539096757651</v>
      </c>
      <c r="K23" s="97">
        <v>0.27986330749131166</v>
      </c>
      <c r="L23" s="97">
        <v>0.21206456375171293</v>
      </c>
      <c r="M23" s="97">
        <v>0.22228081280836479</v>
      </c>
      <c r="N23" s="97">
        <v>0.23837914465521015</v>
      </c>
      <c r="O23" s="110">
        <v>3.1020247135652026</v>
      </c>
    </row>
    <row r="24" spans="1:15" x14ac:dyDescent="0.2">
      <c r="A24" s="236"/>
      <c r="B24" s="108" t="s">
        <v>89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">
      <c r="A25" s="236"/>
      <c r="B25" s="108" t="s">
        <v>91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">
      <c r="A26" s="98" t="s">
        <v>15</v>
      </c>
      <c r="B26" s="98" t="s">
        <v>71</v>
      </c>
      <c r="C26" s="105">
        <v>3.5791952072907769E-3</v>
      </c>
      <c r="D26" s="106">
        <v>4.0905088083323165E-3</v>
      </c>
      <c r="E26" s="106">
        <v>2.5565680052076979E-3</v>
      </c>
      <c r="F26" s="106">
        <v>3.0678816062492372E-3</v>
      </c>
      <c r="G26" s="106">
        <v>2.0452544041661583E-3</v>
      </c>
      <c r="H26" s="106">
        <v>6.647076813540014E-3</v>
      </c>
      <c r="I26" s="106">
        <v>8.6923312177061719E-3</v>
      </c>
      <c r="J26" s="106">
        <v>8.6923312177061719E-3</v>
      </c>
      <c r="K26" s="106">
        <v>8.181017616664633E-3</v>
      </c>
      <c r="L26" s="106">
        <v>2.5565680052076979E-3</v>
      </c>
      <c r="M26" s="106">
        <v>2.5565680052076979E-3</v>
      </c>
      <c r="N26" s="106">
        <v>3.0678816062492372E-3</v>
      </c>
      <c r="O26" s="107">
        <v>5.5733182513527817E-2</v>
      </c>
    </row>
    <row r="27" spans="1:15" x14ac:dyDescent="0.2">
      <c r="A27" s="236"/>
      <c r="B27" s="108" t="s">
        <v>25</v>
      </c>
      <c r="C27" s="240">
        <v>1.4121120740615938E-3</v>
      </c>
      <c r="D27" s="241">
        <v>1.6138423703561072E-3</v>
      </c>
      <c r="E27" s="241">
        <v>1.0086514814725671E-3</v>
      </c>
      <c r="F27" s="241">
        <v>1.2103817777670803E-3</v>
      </c>
      <c r="G27" s="241">
        <v>8.069211851780536E-4</v>
      </c>
      <c r="H27" s="241">
        <v>2.6224938518286736E-3</v>
      </c>
      <c r="I27" s="241">
        <v>3.4294150370067274E-3</v>
      </c>
      <c r="J27" s="241">
        <v>3.4294150370067274E-3</v>
      </c>
      <c r="K27" s="241">
        <v>3.2276847407122144E-3</v>
      </c>
      <c r="L27" s="241">
        <v>1.0086514814725671E-3</v>
      </c>
      <c r="M27" s="241">
        <v>1.0086514814725671E-3</v>
      </c>
      <c r="N27" s="241">
        <v>1.2103817777670803E-3</v>
      </c>
      <c r="O27" s="242">
        <v>2.1988602296101958E-2</v>
      </c>
    </row>
    <row r="28" spans="1:15" x14ac:dyDescent="0.2">
      <c r="A28" s="236"/>
      <c r="B28" s="108" t="s">
        <v>26</v>
      </c>
      <c r="C28" s="240">
        <v>5.0425935288795758E-5</v>
      </c>
      <c r="D28" s="241">
        <v>5.7629640330052294E-5</v>
      </c>
      <c r="E28" s="241">
        <v>3.6018525206282686E-5</v>
      </c>
      <c r="F28" s="241">
        <v>4.3222230247539222E-5</v>
      </c>
      <c r="G28" s="241">
        <v>2.8814820165026147E-5</v>
      </c>
      <c r="H28" s="241">
        <v>9.3648165536334987E-5</v>
      </c>
      <c r="I28" s="241">
        <v>1.2246298570136113E-4</v>
      </c>
      <c r="J28" s="241">
        <v>1.2246298570136113E-4</v>
      </c>
      <c r="K28" s="241">
        <v>1.1525928066010459E-4</v>
      </c>
      <c r="L28" s="241">
        <v>3.6018525206282686E-5</v>
      </c>
      <c r="M28" s="241">
        <v>3.6018525206282686E-5</v>
      </c>
      <c r="N28" s="241">
        <v>4.3222230247539222E-5</v>
      </c>
      <c r="O28" s="242">
        <v>7.8520384949696263E-4</v>
      </c>
    </row>
    <row r="29" spans="1:15" x14ac:dyDescent="0.2">
      <c r="A29" s="236"/>
      <c r="B29" s="108" t="s">
        <v>27</v>
      </c>
      <c r="C29" s="240">
        <v>1.4625380093503896E-3</v>
      </c>
      <c r="D29" s="241">
        <v>1.6714720106861594E-3</v>
      </c>
      <c r="E29" s="241">
        <v>1.0446700066788497E-3</v>
      </c>
      <c r="F29" s="241">
        <v>1.2536040080146195E-3</v>
      </c>
      <c r="G29" s="241">
        <v>8.3573600534307972E-4</v>
      </c>
      <c r="H29" s="241">
        <v>2.7161420173650087E-3</v>
      </c>
      <c r="I29" s="241">
        <v>3.5518780227080885E-3</v>
      </c>
      <c r="J29" s="241">
        <v>3.5518780227080885E-3</v>
      </c>
      <c r="K29" s="241">
        <v>3.3429440213723189E-3</v>
      </c>
      <c r="L29" s="241">
        <v>1.0446700066788497E-3</v>
      </c>
      <c r="M29" s="241">
        <v>1.0446700066788497E-3</v>
      </c>
      <c r="N29" s="241">
        <v>1.2536040080146195E-3</v>
      </c>
      <c r="O29" s="242">
        <v>2.2773806145598919E-2</v>
      </c>
    </row>
    <row r="30" spans="1:15" x14ac:dyDescent="0.2">
      <c r="A30" s="236"/>
      <c r="B30" s="108" t="s">
        <v>50</v>
      </c>
      <c r="C30" s="109">
        <v>2.1670831332291831E-3</v>
      </c>
      <c r="D30" s="97">
        <v>2.4766664379762093E-3</v>
      </c>
      <c r="E30" s="97">
        <v>1.5479165237351309E-3</v>
      </c>
      <c r="F30" s="97">
        <v>1.8574998284821569E-3</v>
      </c>
      <c r="G30" s="97">
        <v>1.2383332189881047E-3</v>
      </c>
      <c r="H30" s="97">
        <v>4.0245829617113404E-3</v>
      </c>
      <c r="I30" s="97">
        <v>5.2629161806994444E-3</v>
      </c>
      <c r="J30" s="97">
        <v>5.2629161806994444E-3</v>
      </c>
      <c r="K30" s="97">
        <v>4.9533328759524186E-3</v>
      </c>
      <c r="L30" s="97">
        <v>1.5479165237351309E-3</v>
      </c>
      <c r="M30" s="97">
        <v>1.5479165237351309E-3</v>
      </c>
      <c r="N30" s="97">
        <v>1.8574998284821569E-3</v>
      </c>
      <c r="O30" s="110">
        <v>3.3744580217425851E-2</v>
      </c>
    </row>
    <row r="31" spans="1:15" x14ac:dyDescent="0.2">
      <c r="A31" s="236"/>
      <c r="B31" s="108" t="s">
        <v>89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">
      <c r="A32" s="236"/>
      <c r="B32" s="108" t="s">
        <v>91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">
      <c r="A33" s="98" t="s">
        <v>16</v>
      </c>
      <c r="B33" s="98" t="s">
        <v>71</v>
      </c>
      <c r="C33" s="105">
        <v>1.5339408031246186E-3</v>
      </c>
      <c r="D33" s="106">
        <v>2.5565680052076979E-3</v>
      </c>
      <c r="E33" s="106">
        <v>2.0452544041661583E-3</v>
      </c>
      <c r="F33" s="106">
        <v>2.0452544041661583E-3</v>
      </c>
      <c r="G33" s="106">
        <v>1.5339408031246186E-3</v>
      </c>
      <c r="H33" s="106">
        <v>2.5565680052076979E-3</v>
      </c>
      <c r="I33" s="106">
        <v>2.5565680052076979E-3</v>
      </c>
      <c r="J33" s="106">
        <v>2.0452544041661583E-3</v>
      </c>
      <c r="K33" s="106">
        <v>2.0452544041661583E-3</v>
      </c>
      <c r="L33" s="106">
        <v>2.0452544041661583E-3</v>
      </c>
      <c r="M33" s="106">
        <v>2.0452544041661583E-3</v>
      </c>
      <c r="N33" s="106">
        <v>5.1131360104153957E-4</v>
      </c>
      <c r="O33" s="107">
        <v>2.352042564791082E-2</v>
      </c>
    </row>
    <row r="34" spans="1:15" x14ac:dyDescent="0.2">
      <c r="A34" s="236"/>
      <c r="B34" s="108" t="s">
        <v>25</v>
      </c>
      <c r="C34" s="240">
        <v>6.0519088888354015E-4</v>
      </c>
      <c r="D34" s="241">
        <v>1.0086514814725671E-3</v>
      </c>
      <c r="E34" s="241">
        <v>8.069211851780536E-4</v>
      </c>
      <c r="F34" s="241">
        <v>8.069211851780536E-4</v>
      </c>
      <c r="G34" s="241">
        <v>6.0519088888354015E-4</v>
      </c>
      <c r="H34" s="241">
        <v>1.0086514814725671E-3</v>
      </c>
      <c r="I34" s="241">
        <v>1.0086514814725671E-3</v>
      </c>
      <c r="J34" s="241">
        <v>8.069211851780536E-4</v>
      </c>
      <c r="K34" s="241">
        <v>8.069211851780536E-4</v>
      </c>
      <c r="L34" s="241">
        <v>8.069211851780536E-4</v>
      </c>
      <c r="M34" s="241">
        <v>8.069211851780536E-4</v>
      </c>
      <c r="N34" s="241">
        <v>2.017302962945134E-4</v>
      </c>
      <c r="O34" s="242">
        <v>9.2795936295476163E-3</v>
      </c>
    </row>
    <row r="35" spans="1:15" x14ac:dyDescent="0.2">
      <c r="A35" s="236"/>
      <c r="B35" s="108" t="s">
        <v>26</v>
      </c>
      <c r="C35" s="240">
        <v>2.1611115123769611E-5</v>
      </c>
      <c r="D35" s="241">
        <v>3.6018525206282686E-5</v>
      </c>
      <c r="E35" s="241">
        <v>2.8814820165026147E-5</v>
      </c>
      <c r="F35" s="241">
        <v>2.8814820165026147E-5</v>
      </c>
      <c r="G35" s="241">
        <v>2.1611115123769611E-5</v>
      </c>
      <c r="H35" s="241">
        <v>3.6018525206282686E-5</v>
      </c>
      <c r="I35" s="241">
        <v>3.6018525206282686E-5</v>
      </c>
      <c r="J35" s="241">
        <v>2.8814820165026147E-5</v>
      </c>
      <c r="K35" s="241">
        <v>2.8814820165026147E-5</v>
      </c>
      <c r="L35" s="241">
        <v>2.8814820165026147E-5</v>
      </c>
      <c r="M35" s="241">
        <v>2.8814820165026147E-5</v>
      </c>
      <c r="N35" s="241">
        <v>7.2037050412565368E-6</v>
      </c>
      <c r="O35" s="242">
        <v>3.3137043189780072E-4</v>
      </c>
    </row>
    <row r="36" spans="1:15" x14ac:dyDescent="0.2">
      <c r="A36" s="236"/>
      <c r="B36" s="108" t="s">
        <v>27</v>
      </c>
      <c r="C36" s="240">
        <v>6.2680200400730976E-4</v>
      </c>
      <c r="D36" s="241">
        <v>1.0446700066788497E-3</v>
      </c>
      <c r="E36" s="241">
        <v>8.3573600534307972E-4</v>
      </c>
      <c r="F36" s="241">
        <v>8.3573600534307972E-4</v>
      </c>
      <c r="G36" s="241">
        <v>6.2680200400730976E-4</v>
      </c>
      <c r="H36" s="241">
        <v>1.0446700066788497E-3</v>
      </c>
      <c r="I36" s="241">
        <v>1.0446700066788497E-3</v>
      </c>
      <c r="J36" s="241">
        <v>8.3573600534307972E-4</v>
      </c>
      <c r="K36" s="241">
        <v>8.3573600534307972E-4</v>
      </c>
      <c r="L36" s="241">
        <v>8.3573600534307972E-4</v>
      </c>
      <c r="M36" s="241">
        <v>8.3573600534307972E-4</v>
      </c>
      <c r="N36" s="241">
        <v>2.0893400133576993E-4</v>
      </c>
      <c r="O36" s="242">
        <v>9.6109640614454161E-3</v>
      </c>
    </row>
    <row r="37" spans="1:15" x14ac:dyDescent="0.2">
      <c r="A37" s="236"/>
      <c r="B37" s="108" t="s">
        <v>50</v>
      </c>
      <c r="C37" s="109">
        <v>9.2874991424107844E-4</v>
      </c>
      <c r="D37" s="97">
        <v>1.5479165237351309E-3</v>
      </c>
      <c r="E37" s="97">
        <v>1.2383332189881047E-3</v>
      </c>
      <c r="F37" s="97">
        <v>1.2383332189881047E-3</v>
      </c>
      <c r="G37" s="97">
        <v>9.2874991424107844E-4</v>
      </c>
      <c r="H37" s="97">
        <v>1.5479165237351309E-3</v>
      </c>
      <c r="I37" s="97">
        <v>1.5479165237351309E-3</v>
      </c>
      <c r="J37" s="97">
        <v>1.2383332189881047E-3</v>
      </c>
      <c r="K37" s="97">
        <v>1.2383332189881047E-3</v>
      </c>
      <c r="L37" s="97">
        <v>1.2383332189881047E-3</v>
      </c>
      <c r="M37" s="97">
        <v>1.2383332189881047E-3</v>
      </c>
      <c r="N37" s="97">
        <v>3.0958330474702616E-4</v>
      </c>
      <c r="O37" s="110">
        <v>1.4240832018363205E-2</v>
      </c>
    </row>
    <row r="38" spans="1:15" x14ac:dyDescent="0.2">
      <c r="A38" s="236"/>
      <c r="B38" s="108" t="s">
        <v>89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">
      <c r="A39" s="236"/>
      <c r="B39" s="108" t="s">
        <v>91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">
      <c r="A40" s="98" t="s">
        <v>19</v>
      </c>
      <c r="B40" s="98" t="s">
        <v>71</v>
      </c>
      <c r="C40" s="105">
        <v>1.8918603238536964E-2</v>
      </c>
      <c r="D40" s="106">
        <v>1.6873348834370805E-2</v>
      </c>
      <c r="E40" s="106">
        <v>2.4031739248952359E-2</v>
      </c>
      <c r="F40" s="106">
        <v>1.9941230440620045E-2</v>
      </c>
      <c r="G40" s="106">
        <v>2.352042564791082E-2</v>
      </c>
      <c r="H40" s="106">
        <v>2.6076993653118517E-2</v>
      </c>
      <c r="I40" s="106">
        <v>2.352042564791082E-2</v>
      </c>
      <c r="J40" s="106">
        <v>2.5565680052076978E-2</v>
      </c>
      <c r="K40" s="106">
        <v>2.3009112046869281E-2</v>
      </c>
      <c r="L40" s="106">
        <v>2.352042564791082E-2</v>
      </c>
      <c r="M40" s="106">
        <v>2.4543052849993897E-2</v>
      </c>
      <c r="N40" s="106">
        <v>2.1475171243744661E-2</v>
      </c>
      <c r="O40" s="107">
        <v>0.27099620855201595</v>
      </c>
    </row>
    <row r="41" spans="1:15" x14ac:dyDescent="0.2">
      <c r="A41" s="236"/>
      <c r="B41" s="108" t="s">
        <v>25</v>
      </c>
      <c r="C41" s="240">
        <v>7.4640209628969948E-3</v>
      </c>
      <c r="D41" s="241">
        <v>6.657099777718941E-3</v>
      </c>
      <c r="E41" s="241">
        <v>9.4813239258421285E-3</v>
      </c>
      <c r="F41" s="241">
        <v>7.8674815554860243E-3</v>
      </c>
      <c r="G41" s="241">
        <v>9.2795936295476163E-3</v>
      </c>
      <c r="H41" s="241">
        <v>1.0288245111020184E-2</v>
      </c>
      <c r="I41" s="241">
        <v>9.2795936295476163E-3</v>
      </c>
      <c r="J41" s="241">
        <v>1.008651481472567E-2</v>
      </c>
      <c r="K41" s="241">
        <v>9.0778633332531042E-3</v>
      </c>
      <c r="L41" s="241">
        <v>9.2795936295476163E-3</v>
      </c>
      <c r="M41" s="241">
        <v>9.6830542221366424E-3</v>
      </c>
      <c r="N41" s="241">
        <v>8.4726724443695625E-3</v>
      </c>
      <c r="O41" s="242">
        <v>0.10691705703609208</v>
      </c>
    </row>
    <row r="42" spans="1:15" x14ac:dyDescent="0.2">
      <c r="A42" s="236"/>
      <c r="B42" s="108" t="s">
        <v>26</v>
      </c>
      <c r="C42" s="240">
        <v>2.6653708652649188E-4</v>
      </c>
      <c r="D42" s="241">
        <v>2.3772226636146571E-4</v>
      </c>
      <c r="E42" s="241">
        <v>3.3857413693905728E-4</v>
      </c>
      <c r="F42" s="241">
        <v>2.8094449660900493E-4</v>
      </c>
      <c r="G42" s="241">
        <v>3.3137043189780072E-4</v>
      </c>
      <c r="H42" s="241">
        <v>3.6738895710408345E-4</v>
      </c>
      <c r="I42" s="241">
        <v>3.3137043189780072E-4</v>
      </c>
      <c r="J42" s="241">
        <v>3.6018525206282689E-4</v>
      </c>
      <c r="K42" s="241">
        <v>3.2416672685654416E-4</v>
      </c>
      <c r="L42" s="241">
        <v>3.3137043189780072E-4</v>
      </c>
      <c r="M42" s="241">
        <v>3.4577784198031378E-4</v>
      </c>
      <c r="N42" s="241">
        <v>3.0255561173277455E-4</v>
      </c>
      <c r="O42" s="242">
        <v>3.8179636718659649E-3</v>
      </c>
    </row>
    <row r="43" spans="1:15" x14ac:dyDescent="0.2">
      <c r="A43" s="236"/>
      <c r="B43" s="108" t="s">
        <v>27</v>
      </c>
      <c r="C43" s="240">
        <v>7.7305580494234864E-3</v>
      </c>
      <c r="D43" s="241">
        <v>6.894822044080407E-3</v>
      </c>
      <c r="E43" s="241">
        <v>9.8198980627811853E-3</v>
      </c>
      <c r="F43" s="241">
        <v>8.14842605209503E-3</v>
      </c>
      <c r="G43" s="241">
        <v>9.6109640614454178E-3</v>
      </c>
      <c r="H43" s="241">
        <v>1.0655634068124267E-2</v>
      </c>
      <c r="I43" s="241">
        <v>9.6109640614454178E-3</v>
      </c>
      <c r="J43" s="241">
        <v>1.0446700066788496E-2</v>
      </c>
      <c r="K43" s="241">
        <v>9.4020300601096486E-3</v>
      </c>
      <c r="L43" s="241">
        <v>9.6109640614454178E-3</v>
      </c>
      <c r="M43" s="241">
        <v>1.0028832064116956E-2</v>
      </c>
      <c r="N43" s="241">
        <v>8.7752280561023376E-3</v>
      </c>
      <c r="O43" s="242">
        <v>0.11073502070795807</v>
      </c>
    </row>
    <row r="44" spans="1:15" x14ac:dyDescent="0.2">
      <c r="A44" s="236"/>
      <c r="B44" s="108" t="s">
        <v>50</v>
      </c>
      <c r="C44" s="109">
        <v>1.1454582275639969E-2</v>
      </c>
      <c r="D44" s="97">
        <v>1.0216249056651864E-2</v>
      </c>
      <c r="E44" s="97">
        <v>1.455041532311023E-2</v>
      </c>
      <c r="F44" s="97">
        <v>1.207374888513402E-2</v>
      </c>
      <c r="G44" s="97">
        <v>1.4240832018363203E-2</v>
      </c>
      <c r="H44" s="97">
        <v>1.5788748542098333E-2</v>
      </c>
      <c r="I44" s="97">
        <v>1.4240832018363203E-2</v>
      </c>
      <c r="J44" s="97">
        <v>1.5479165237351308E-2</v>
      </c>
      <c r="K44" s="97">
        <v>1.3931248713616177E-2</v>
      </c>
      <c r="L44" s="97">
        <v>1.4240832018363203E-2</v>
      </c>
      <c r="M44" s="97">
        <v>1.4859998627857255E-2</v>
      </c>
      <c r="N44" s="97">
        <v>1.3002498799375099E-2</v>
      </c>
      <c r="O44" s="110">
        <v>0.16407915151592387</v>
      </c>
    </row>
    <row r="45" spans="1:15" x14ac:dyDescent="0.2">
      <c r="A45" s="236"/>
      <c r="B45" s="108" t="s">
        <v>89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">
      <c r="A46" s="236"/>
      <c r="B46" s="108" t="s">
        <v>91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">
      <c r="A47" s="98" t="s">
        <v>8</v>
      </c>
      <c r="B47" s="98" t="s">
        <v>71</v>
      </c>
      <c r="C47" s="105">
        <v>3.8859833679157005E-2</v>
      </c>
      <c r="D47" s="106">
        <v>5.0620046503112415E-2</v>
      </c>
      <c r="E47" s="106">
        <v>3.374669766874161E-2</v>
      </c>
      <c r="F47" s="106">
        <v>3.4258011269783152E-2</v>
      </c>
      <c r="G47" s="106">
        <v>5.1642673705195499E-2</v>
      </c>
      <c r="H47" s="106">
        <v>7.2095217746857079E-2</v>
      </c>
      <c r="I47" s="106">
        <v>7.4140472151023235E-2</v>
      </c>
      <c r="J47" s="106">
        <v>7.618572655518939E-2</v>
      </c>
      <c r="K47" s="106">
        <v>7.6697040156230939E-2</v>
      </c>
      <c r="L47" s="106">
        <v>5.8289750518735507E-2</v>
      </c>
      <c r="M47" s="106">
        <v>3.374669766874161E-2</v>
      </c>
      <c r="N47" s="106">
        <v>3.681457927499085E-2</v>
      </c>
      <c r="O47" s="107">
        <v>0.6370967468977583</v>
      </c>
    </row>
    <row r="48" spans="1:15" x14ac:dyDescent="0.2">
      <c r="A48" s="236"/>
      <c r="B48" s="108" t="s">
        <v>25</v>
      </c>
      <c r="C48" s="240">
        <v>1.5331502518383017E-2</v>
      </c>
      <c r="D48" s="241">
        <v>1.9971299333156823E-2</v>
      </c>
      <c r="E48" s="241">
        <v>1.3314199555437882E-2</v>
      </c>
      <c r="F48" s="241">
        <v>1.3515929851732399E-2</v>
      </c>
      <c r="G48" s="241">
        <v>2.0374759925745854E-2</v>
      </c>
      <c r="H48" s="241">
        <v>2.8443971777526389E-2</v>
      </c>
      <c r="I48" s="241">
        <v>2.9250892962704438E-2</v>
      </c>
      <c r="J48" s="241">
        <v>3.0057814147882493E-2</v>
      </c>
      <c r="K48" s="241">
        <v>3.0259544444177014E-2</v>
      </c>
      <c r="L48" s="241">
        <v>2.2997253777574528E-2</v>
      </c>
      <c r="M48" s="241">
        <v>1.3314199555437882E-2</v>
      </c>
      <c r="N48" s="241">
        <v>1.4524581333204965E-2</v>
      </c>
      <c r="O48" s="242">
        <v>0.25135594918296372</v>
      </c>
    </row>
    <row r="49" spans="1:15" x14ac:dyDescent="0.2">
      <c r="A49" s="236"/>
      <c r="B49" s="108" t="s">
        <v>26</v>
      </c>
      <c r="C49" s="240">
        <v>5.4748158313549687E-4</v>
      </c>
      <c r="D49" s="241">
        <v>7.1316679908439728E-4</v>
      </c>
      <c r="E49" s="241">
        <v>4.7544453272293141E-4</v>
      </c>
      <c r="F49" s="241">
        <v>4.8264823776418797E-4</v>
      </c>
      <c r="G49" s="241">
        <v>7.2757420916691028E-4</v>
      </c>
      <c r="H49" s="241">
        <v>1.0157224108171719E-3</v>
      </c>
      <c r="I49" s="241">
        <v>1.0445372309821979E-3</v>
      </c>
      <c r="J49" s="241">
        <v>1.0733520511472241E-3</v>
      </c>
      <c r="K49" s="241">
        <v>1.0805557561884805E-3</v>
      </c>
      <c r="L49" s="241">
        <v>8.2122237470324524E-4</v>
      </c>
      <c r="M49" s="241">
        <v>4.7544453272293141E-4</v>
      </c>
      <c r="N49" s="241">
        <v>5.1866676297047075E-4</v>
      </c>
      <c r="O49" s="242">
        <v>8.9758164814056456E-3</v>
      </c>
    </row>
    <row r="50" spans="1:15" x14ac:dyDescent="0.2">
      <c r="A50" s="236"/>
      <c r="B50" s="108" t="s">
        <v>27</v>
      </c>
      <c r="C50" s="240">
        <v>1.5878984101518515E-2</v>
      </c>
      <c r="D50" s="241">
        <v>2.068446613224122E-2</v>
      </c>
      <c r="E50" s="241">
        <v>1.3789644088160814E-2</v>
      </c>
      <c r="F50" s="241">
        <v>1.3998578089496587E-2</v>
      </c>
      <c r="G50" s="241">
        <v>2.1102334134912765E-2</v>
      </c>
      <c r="H50" s="241">
        <v>2.9459694188343561E-2</v>
      </c>
      <c r="I50" s="241">
        <v>3.0295430193686634E-2</v>
      </c>
      <c r="J50" s="241">
        <v>3.1131166199029718E-2</v>
      </c>
      <c r="K50" s="241">
        <v>3.1340100200365498E-2</v>
      </c>
      <c r="L50" s="241">
        <v>2.3818476152277772E-2</v>
      </c>
      <c r="M50" s="241">
        <v>1.3789644088160814E-2</v>
      </c>
      <c r="N50" s="241">
        <v>1.5043248096175436E-2</v>
      </c>
      <c r="O50" s="242">
        <v>0.26033176566436927</v>
      </c>
    </row>
    <row r="51" spans="1:15" x14ac:dyDescent="0.2">
      <c r="A51" s="236"/>
      <c r="B51" s="108" t="s">
        <v>50</v>
      </c>
      <c r="C51" s="109">
        <v>2.3528331160773987E-2</v>
      </c>
      <c r="D51" s="97">
        <v>3.0648747169955592E-2</v>
      </c>
      <c r="E51" s="97">
        <v>2.0432498113303728E-2</v>
      </c>
      <c r="F51" s="97">
        <v>2.0742081418050753E-2</v>
      </c>
      <c r="G51" s="97">
        <v>3.1267913779449645E-2</v>
      </c>
      <c r="H51" s="97">
        <v>4.365124596933069E-2</v>
      </c>
      <c r="I51" s="97">
        <v>4.4889579188318797E-2</v>
      </c>
      <c r="J51" s="97">
        <v>4.6127912407306897E-2</v>
      </c>
      <c r="K51" s="97">
        <v>4.6437495712053925E-2</v>
      </c>
      <c r="L51" s="97">
        <v>3.5292496741160979E-2</v>
      </c>
      <c r="M51" s="97">
        <v>2.0432498113303728E-2</v>
      </c>
      <c r="N51" s="97">
        <v>2.2289997941785884E-2</v>
      </c>
      <c r="O51" s="110">
        <v>0.38574079771479453</v>
      </c>
    </row>
    <row r="52" spans="1:15" x14ac:dyDescent="0.2">
      <c r="A52" s="236"/>
      <c r="B52" s="108" t="s">
        <v>89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">
      <c r="A53" s="236"/>
      <c r="B53" s="108" t="s">
        <v>91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">
      <c r="A54" s="98" t="s">
        <v>21</v>
      </c>
      <c r="B54" s="98" t="s">
        <v>71</v>
      </c>
      <c r="C54" s="105">
        <v>1.2966912922413443</v>
      </c>
      <c r="D54" s="106">
        <v>1.5216692766996218</v>
      </c>
      <c r="E54" s="106">
        <v>1.1264238630945116</v>
      </c>
      <c r="F54" s="106">
        <v>1.0972789878351439</v>
      </c>
      <c r="G54" s="106">
        <v>1.5139995726839988</v>
      </c>
      <c r="H54" s="106">
        <v>1.9567971511859719</v>
      </c>
      <c r="I54" s="106">
        <v>2.013552960901583</v>
      </c>
      <c r="J54" s="106">
        <v>2.0462770313682412</v>
      </c>
      <c r="K54" s="106">
        <v>2.0600824985963628</v>
      </c>
      <c r="L54" s="106">
        <v>1.5968323760527281</v>
      </c>
      <c r="M54" s="106">
        <v>1.157102679157004</v>
      </c>
      <c r="N54" s="106">
        <v>1.2164150568778227</v>
      </c>
      <c r="O54" s="107">
        <v>18.603122746694332</v>
      </c>
    </row>
    <row r="55" spans="1:15" x14ac:dyDescent="0.2">
      <c r="A55" s="236"/>
      <c r="B55" s="108" t="s">
        <v>25</v>
      </c>
      <c r="C55" s="240">
        <v>0.51158803140288589</v>
      </c>
      <c r="D55" s="241">
        <v>0.600349361772472</v>
      </c>
      <c r="E55" s="241">
        <v>0.444411842736813</v>
      </c>
      <c r="F55" s="241">
        <v>0.43291321584802578</v>
      </c>
      <c r="G55" s="241">
        <v>0.59732340732805433</v>
      </c>
      <c r="H55" s="241">
        <v>0.77202184391910267</v>
      </c>
      <c r="I55" s="241">
        <v>0.794413906807794</v>
      </c>
      <c r="J55" s="241">
        <v>0.80732464577064245</v>
      </c>
      <c r="K55" s="241">
        <v>0.81277136377059445</v>
      </c>
      <c r="L55" s="241">
        <v>0.63000371532776533</v>
      </c>
      <c r="M55" s="241">
        <v>0.45651566051448378</v>
      </c>
      <c r="N55" s="241">
        <v>0.47991637488464745</v>
      </c>
      <c r="O55" s="242">
        <v>7.3395533700832809</v>
      </c>
    </row>
    <row r="56" spans="1:15" x14ac:dyDescent="0.2">
      <c r="A56" s="236"/>
      <c r="B56" s="108" t="s">
        <v>26</v>
      </c>
      <c r="C56" s="240">
        <v>1.8268595984626577E-2</v>
      </c>
      <c r="D56" s="241">
        <v>2.1438226202779454E-2</v>
      </c>
      <c r="E56" s="241">
        <v>1.5869762205888153E-2</v>
      </c>
      <c r="F56" s="241">
        <v>1.5459151018536529E-2</v>
      </c>
      <c r="G56" s="241">
        <v>2.1330170627160607E-2</v>
      </c>
      <c r="H56" s="241">
        <v>2.7568579192888767E-2</v>
      </c>
      <c r="I56" s="241">
        <v>2.8368190452468241E-2</v>
      </c>
      <c r="J56" s="241">
        <v>2.8829227575108661E-2</v>
      </c>
      <c r="K56" s="241">
        <v>2.9023727611222589E-2</v>
      </c>
      <c r="L56" s="241">
        <v>2.2497170843844169E-2</v>
      </c>
      <c r="M56" s="241">
        <v>1.6301984508363544E-2</v>
      </c>
      <c r="N56" s="241">
        <v>1.7137614293149302E-2</v>
      </c>
      <c r="O56" s="242">
        <v>0.26209240051603661</v>
      </c>
    </row>
    <row r="57" spans="1:15" x14ac:dyDescent="0.2">
      <c r="A57" s="236"/>
      <c r="B57" s="108" t="s">
        <v>27</v>
      </c>
      <c r="C57" s="240">
        <v>0.52985662738751249</v>
      </c>
      <c r="D57" s="241">
        <v>0.62178758797525147</v>
      </c>
      <c r="E57" s="241">
        <v>0.46028160494270115</v>
      </c>
      <c r="F57" s="241">
        <v>0.44837236686656229</v>
      </c>
      <c r="G57" s="241">
        <v>0.61865357795521492</v>
      </c>
      <c r="H57" s="241">
        <v>0.79959042311199147</v>
      </c>
      <c r="I57" s="241">
        <v>0.82278209726026219</v>
      </c>
      <c r="J57" s="241">
        <v>0.83615387334575109</v>
      </c>
      <c r="K57" s="241">
        <v>0.84179509138181707</v>
      </c>
      <c r="L57" s="241">
        <v>0.65250088617160951</v>
      </c>
      <c r="M57" s="241">
        <v>0.47281764502284734</v>
      </c>
      <c r="N57" s="241">
        <v>0.49705398917779675</v>
      </c>
      <c r="O57" s="242">
        <v>7.6016457705993181</v>
      </c>
    </row>
    <row r="58" spans="1:15" x14ac:dyDescent="0.2">
      <c r="A58" s="236"/>
      <c r="B58" s="108" t="s">
        <v>50</v>
      </c>
      <c r="C58" s="109">
        <v>0.78510326083845838</v>
      </c>
      <c r="D58" s="97">
        <v>0.92131991492714982</v>
      </c>
      <c r="E58" s="97">
        <v>0.68201202035769859</v>
      </c>
      <c r="F58" s="97">
        <v>0.6643657719871181</v>
      </c>
      <c r="G58" s="97">
        <v>0.91667616535594443</v>
      </c>
      <c r="H58" s="97">
        <v>1.1847753072668692</v>
      </c>
      <c r="I58" s="97">
        <v>1.219139054093789</v>
      </c>
      <c r="J58" s="97">
        <v>1.2389523855975988</v>
      </c>
      <c r="K58" s="97">
        <v>1.2473111348257684</v>
      </c>
      <c r="L58" s="97">
        <v>0.96682866072496276</v>
      </c>
      <c r="M58" s="97">
        <v>0.70058701864252027</v>
      </c>
      <c r="N58" s="97">
        <v>0.73649868199317525</v>
      </c>
      <c r="O58" s="110">
        <v>11.263569376611054</v>
      </c>
    </row>
    <row r="59" spans="1:15" x14ac:dyDescent="0.2">
      <c r="A59" s="236"/>
      <c r="B59" s="108" t="s">
        <v>89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">
      <c r="A60" s="236"/>
      <c r="B60" s="108" t="s">
        <v>91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">
      <c r="A61" s="98" t="s">
        <v>22</v>
      </c>
      <c r="B61" s="98" t="s">
        <v>71</v>
      </c>
      <c r="C61" s="105">
        <v>1.4168499884861061</v>
      </c>
      <c r="D61" s="106">
        <v>1.6034794528662681</v>
      </c>
      <c r="E61" s="106">
        <v>1.1959625128361611</v>
      </c>
      <c r="F61" s="106">
        <v>1.2240847608934458</v>
      </c>
      <c r="G61" s="106">
        <v>1.4352572781236015</v>
      </c>
      <c r="H61" s="106">
        <v>1.7103439954839499</v>
      </c>
      <c r="I61" s="106">
        <v>1.802380443671427</v>
      </c>
      <c r="J61" s="106">
        <v>1.79675599405997</v>
      </c>
      <c r="K61" s="106">
        <v>1.7824392132308069</v>
      </c>
      <c r="L61" s="106">
        <v>1.4199178700923554</v>
      </c>
      <c r="M61" s="106">
        <v>1.1678402647788764</v>
      </c>
      <c r="N61" s="106">
        <v>1.2399354825257334</v>
      </c>
      <c r="O61" s="107">
        <v>17.795247257048704</v>
      </c>
    </row>
    <row r="62" spans="1:15" x14ac:dyDescent="0.2">
      <c r="A62" s="236"/>
      <c r="B62" s="108" t="s">
        <v>25</v>
      </c>
      <c r="C62" s="240">
        <v>0.55899465103209656</v>
      </c>
      <c r="D62" s="241">
        <v>0.63262620917959411</v>
      </c>
      <c r="E62" s="241">
        <v>0.47184716303286689</v>
      </c>
      <c r="F62" s="241">
        <v>0.48294232932906511</v>
      </c>
      <c r="G62" s="241">
        <v>0.566256941698699</v>
      </c>
      <c r="H62" s="241">
        <v>0.67478784110514733</v>
      </c>
      <c r="I62" s="241">
        <v>0.71109929443815978</v>
      </c>
      <c r="J62" s="241">
        <v>0.70888026117892</v>
      </c>
      <c r="K62" s="241">
        <v>0.70323181288267378</v>
      </c>
      <c r="L62" s="241">
        <v>0.56020503280986367</v>
      </c>
      <c r="M62" s="241">
        <v>0.46075199673666856</v>
      </c>
      <c r="N62" s="241">
        <v>0.48919596851419489</v>
      </c>
      <c r="O62" s="242">
        <v>7.0208195019379502</v>
      </c>
    </row>
    <row r="63" spans="1:15" x14ac:dyDescent="0.2">
      <c r="A63" s="236"/>
      <c r="B63" s="108" t="s">
        <v>26</v>
      </c>
      <c r="C63" s="240">
        <v>1.9961466669321866E-2</v>
      </c>
      <c r="D63" s="241">
        <v>2.2590819009380501E-2</v>
      </c>
      <c r="E63" s="241">
        <v>1.6849466091499041E-2</v>
      </c>
      <c r="F63" s="241">
        <v>1.7245669868768149E-2</v>
      </c>
      <c r="G63" s="241">
        <v>2.0220800050807099E-2</v>
      </c>
      <c r="H63" s="241">
        <v>2.4096393363003118E-2</v>
      </c>
      <c r="I63" s="241">
        <v>2.5393060270429292E-2</v>
      </c>
      <c r="J63" s="241">
        <v>2.531381951497547E-2</v>
      </c>
      <c r="K63" s="241">
        <v>2.511211577382029E-2</v>
      </c>
      <c r="L63" s="241">
        <v>2.0004688899569405E-2</v>
      </c>
      <c r="M63" s="241">
        <v>1.645326231422993E-2</v>
      </c>
      <c r="N63" s="241">
        <v>1.7468984725047102E-2</v>
      </c>
      <c r="O63" s="242">
        <v>0.25071054655085129</v>
      </c>
    </row>
    <row r="64" spans="1:15" x14ac:dyDescent="0.2">
      <c r="A64" s="236"/>
      <c r="B64" s="108" t="s">
        <v>27</v>
      </c>
      <c r="C64" s="240">
        <v>0.57895611770141842</v>
      </c>
      <c r="D64" s="241">
        <v>0.65521702818897465</v>
      </c>
      <c r="E64" s="241">
        <v>0.48869662912436596</v>
      </c>
      <c r="F64" s="241">
        <v>0.5001879991978333</v>
      </c>
      <c r="G64" s="241">
        <v>0.58647774174950607</v>
      </c>
      <c r="H64" s="241">
        <v>0.6988842344681504</v>
      </c>
      <c r="I64" s="241">
        <v>0.73649235470858909</v>
      </c>
      <c r="J64" s="241">
        <v>0.73419408069389547</v>
      </c>
      <c r="K64" s="241">
        <v>0.72834392865649411</v>
      </c>
      <c r="L64" s="241">
        <v>0.58020972170943308</v>
      </c>
      <c r="M64" s="241">
        <v>0.4772052590508985</v>
      </c>
      <c r="N64" s="241">
        <v>0.50666495323924199</v>
      </c>
      <c r="O64" s="242">
        <v>7.2715300484888026</v>
      </c>
    </row>
    <row r="65" spans="1:15" x14ac:dyDescent="0.2">
      <c r="A65" s="236"/>
      <c r="B65" s="108" t="s">
        <v>50</v>
      </c>
      <c r="C65" s="109">
        <v>0.85785533745400955</v>
      </c>
      <c r="D65" s="97">
        <v>0.97085324368667403</v>
      </c>
      <c r="E65" s="97">
        <v>0.72411534980329417</v>
      </c>
      <c r="F65" s="97">
        <v>0.74114243156438064</v>
      </c>
      <c r="G65" s="97">
        <v>0.86900033642490249</v>
      </c>
      <c r="H65" s="97">
        <v>1.0355561543788026</v>
      </c>
      <c r="I65" s="97">
        <v>1.0912811492332672</v>
      </c>
      <c r="J65" s="97">
        <v>1.08787573288105</v>
      </c>
      <c r="K65" s="97">
        <v>1.0792074003481331</v>
      </c>
      <c r="L65" s="97">
        <v>0.8597128372824917</v>
      </c>
      <c r="M65" s="97">
        <v>0.70708826804220781</v>
      </c>
      <c r="N65" s="97">
        <v>0.75073951401153849</v>
      </c>
      <c r="O65" s="110">
        <v>10.774427755110754</v>
      </c>
    </row>
    <row r="66" spans="1:15" x14ac:dyDescent="0.2">
      <c r="A66" s="236"/>
      <c r="B66" s="108" t="s">
        <v>89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">
      <c r="A67" s="236"/>
      <c r="B67" s="108" t="s">
        <v>91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">
      <c r="A68" s="98" t="s">
        <v>9</v>
      </c>
      <c r="B68" s="98" t="s">
        <v>71</v>
      </c>
      <c r="C68" s="105">
        <v>2.19864848447862E-2</v>
      </c>
      <c r="D68" s="106">
        <v>2.4543052849993897E-2</v>
      </c>
      <c r="E68" s="106">
        <v>1.7895976036453886E-2</v>
      </c>
      <c r="F68" s="106">
        <v>1.4828094430204648E-2</v>
      </c>
      <c r="G68" s="106">
        <v>1.7384662435412344E-2</v>
      </c>
      <c r="H68" s="106">
        <v>2.3009112046869281E-2</v>
      </c>
      <c r="I68" s="106">
        <v>2.4543052849993897E-2</v>
      </c>
      <c r="J68" s="106">
        <v>2.352042564791082E-2</v>
      </c>
      <c r="K68" s="106">
        <v>2.352042564791082E-2</v>
      </c>
      <c r="L68" s="106">
        <v>2.0963857642703122E-2</v>
      </c>
      <c r="M68" s="106">
        <v>2.0452544041661583E-2</v>
      </c>
      <c r="N68" s="106">
        <v>1.9941230440620045E-2</v>
      </c>
      <c r="O68" s="107">
        <v>0.25258891891452051</v>
      </c>
    </row>
    <row r="69" spans="1:15" x14ac:dyDescent="0.2">
      <c r="A69" s="236"/>
      <c r="B69" s="108" t="s">
        <v>25</v>
      </c>
      <c r="C69" s="240">
        <v>8.6744027406640747E-3</v>
      </c>
      <c r="D69" s="241">
        <v>9.6830542221366424E-3</v>
      </c>
      <c r="E69" s="241">
        <v>7.0605603703079705E-3</v>
      </c>
      <c r="F69" s="241">
        <v>5.8501785925408889E-3</v>
      </c>
      <c r="G69" s="241">
        <v>6.8588300740134549E-3</v>
      </c>
      <c r="H69" s="241">
        <v>9.0778633332531042E-3</v>
      </c>
      <c r="I69" s="241">
        <v>9.6830542221366424E-3</v>
      </c>
      <c r="J69" s="241">
        <v>9.2795936295476163E-3</v>
      </c>
      <c r="K69" s="241">
        <v>9.2795936295476163E-3</v>
      </c>
      <c r="L69" s="241">
        <v>8.2709421480750504E-3</v>
      </c>
      <c r="M69" s="241">
        <v>8.0692118517805365E-3</v>
      </c>
      <c r="N69" s="241">
        <v>7.8674815554860243E-3</v>
      </c>
      <c r="O69" s="242">
        <v>9.9654766369489625E-2</v>
      </c>
    </row>
    <row r="70" spans="1:15" x14ac:dyDescent="0.2">
      <c r="A70" s="236"/>
      <c r="B70" s="108" t="s">
        <v>26</v>
      </c>
      <c r="C70" s="240">
        <v>3.0975931677403111E-4</v>
      </c>
      <c r="D70" s="241">
        <v>3.4577784198031378E-4</v>
      </c>
      <c r="E70" s="241">
        <v>2.5212967644397882E-4</v>
      </c>
      <c r="F70" s="241">
        <v>2.0890744619643959E-4</v>
      </c>
      <c r="G70" s="241">
        <v>2.4492597140272226E-4</v>
      </c>
      <c r="H70" s="241">
        <v>3.2416672685654416E-4</v>
      </c>
      <c r="I70" s="241">
        <v>3.4577784198031378E-4</v>
      </c>
      <c r="J70" s="241">
        <v>3.3137043189780072E-4</v>
      </c>
      <c r="K70" s="241">
        <v>3.3137043189780072E-4</v>
      </c>
      <c r="L70" s="241">
        <v>2.9535190669151799E-4</v>
      </c>
      <c r="M70" s="241">
        <v>2.8814820165026149E-4</v>
      </c>
      <c r="N70" s="241">
        <v>2.8094449660900493E-4</v>
      </c>
      <c r="O70" s="242">
        <v>3.5586302903807287E-3</v>
      </c>
    </row>
    <row r="71" spans="1:15" x14ac:dyDescent="0.2">
      <c r="A71" s="236"/>
      <c r="B71" s="108" t="s">
        <v>27</v>
      </c>
      <c r="C71" s="240">
        <v>8.984162057438105E-3</v>
      </c>
      <c r="D71" s="241">
        <v>1.0028832064116956E-2</v>
      </c>
      <c r="E71" s="241">
        <v>7.3126900467519497E-3</v>
      </c>
      <c r="F71" s="241">
        <v>6.0590860387373284E-3</v>
      </c>
      <c r="G71" s="241">
        <v>7.103756045416177E-3</v>
      </c>
      <c r="H71" s="241">
        <v>9.4020300601096486E-3</v>
      </c>
      <c r="I71" s="241">
        <v>1.0028832064116956E-2</v>
      </c>
      <c r="J71" s="241">
        <v>9.6109640614454178E-3</v>
      </c>
      <c r="K71" s="241">
        <v>9.6109640614454178E-3</v>
      </c>
      <c r="L71" s="241">
        <v>8.5662940547665684E-3</v>
      </c>
      <c r="M71" s="241">
        <v>8.3573600534307974E-3</v>
      </c>
      <c r="N71" s="241">
        <v>8.14842605209503E-3</v>
      </c>
      <c r="O71" s="242">
        <v>0.10321339665987037</v>
      </c>
    </row>
    <row r="72" spans="1:15" x14ac:dyDescent="0.2">
      <c r="A72" s="236"/>
      <c r="B72" s="108" t="s">
        <v>50</v>
      </c>
      <c r="C72" s="109">
        <v>1.3312082104122125E-2</v>
      </c>
      <c r="D72" s="97">
        <v>1.4859998627857255E-2</v>
      </c>
      <c r="E72" s="97">
        <v>1.0835415666145915E-2</v>
      </c>
      <c r="F72" s="97">
        <v>8.977915837663759E-3</v>
      </c>
      <c r="G72" s="97">
        <v>1.0525832361398889E-2</v>
      </c>
      <c r="H72" s="97">
        <v>1.3931248713616177E-2</v>
      </c>
      <c r="I72" s="97">
        <v>1.4859998627857255E-2</v>
      </c>
      <c r="J72" s="97">
        <v>1.4240832018363203E-2</v>
      </c>
      <c r="K72" s="97">
        <v>1.4240832018363203E-2</v>
      </c>
      <c r="L72" s="97">
        <v>1.2692915494628072E-2</v>
      </c>
      <c r="M72" s="97">
        <v>1.2383332189881047E-2</v>
      </c>
      <c r="N72" s="97">
        <v>1.207374888513402E-2</v>
      </c>
      <c r="O72" s="110">
        <v>0.15293415254503093</v>
      </c>
    </row>
    <row r="73" spans="1:15" x14ac:dyDescent="0.2">
      <c r="A73" s="236"/>
      <c r="B73" s="108" t="s">
        <v>89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">
      <c r="A74" s="236"/>
      <c r="B74" s="108" t="s">
        <v>91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">
      <c r="A75" s="98" t="s">
        <v>55</v>
      </c>
      <c r="B75" s="98" t="s">
        <v>71</v>
      </c>
      <c r="C75" s="105">
        <v>5.3176614508320112E-2</v>
      </c>
      <c r="D75" s="106">
        <v>6.8004708938524769E-2</v>
      </c>
      <c r="E75" s="106">
        <v>4.4484283290613942E-2</v>
      </c>
      <c r="F75" s="106">
        <v>3.9371147280198547E-2</v>
      </c>
      <c r="G75" s="106">
        <v>5.3176614508320112E-2</v>
      </c>
      <c r="H75" s="106">
        <v>7.3629158549981699E-2</v>
      </c>
      <c r="I75" s="106">
        <v>8.2321489767687869E-2</v>
      </c>
      <c r="J75" s="106">
        <v>8.3344116969770954E-2</v>
      </c>
      <c r="K75" s="106">
        <v>7.8230980959355559E-2</v>
      </c>
      <c r="L75" s="106">
        <v>5.9823691321860127E-2</v>
      </c>
      <c r="M75" s="106">
        <v>4.6529537694780097E-2</v>
      </c>
      <c r="N75" s="106">
        <v>4.8063478497904717E-2</v>
      </c>
      <c r="O75" s="107">
        <v>0.73015582228731857</v>
      </c>
    </row>
    <row r="76" spans="1:15" x14ac:dyDescent="0.2">
      <c r="A76" s="236"/>
      <c r="B76" s="108" t="s">
        <v>25</v>
      </c>
      <c r="C76" s="109">
        <v>2.0979950814629389E-2</v>
      </c>
      <c r="D76" s="97">
        <v>2.6830129407170292E-2</v>
      </c>
      <c r="E76" s="97">
        <v>1.7550535777622667E-2</v>
      </c>
      <c r="F76" s="97">
        <v>1.5533232814677531E-2</v>
      </c>
      <c r="G76" s="97">
        <v>2.0979950814629389E-2</v>
      </c>
      <c r="H76" s="97">
        <v>2.9049162666409931E-2</v>
      </c>
      <c r="I76" s="97">
        <v>3.247857770341666E-2</v>
      </c>
      <c r="J76" s="97">
        <v>3.2882038296005688E-2</v>
      </c>
      <c r="K76" s="97">
        <v>3.0864735333060556E-2</v>
      </c>
      <c r="L76" s="97">
        <v>2.3602444666458063E-2</v>
      </c>
      <c r="M76" s="97">
        <v>1.8357456962800715E-2</v>
      </c>
      <c r="N76" s="97">
        <v>1.8962647851684257E-2</v>
      </c>
      <c r="O76" s="110">
        <v>0.28807086310856517</v>
      </c>
    </row>
    <row r="77" spans="1:15" x14ac:dyDescent="0.2">
      <c r="A77" s="236"/>
      <c r="B77" s="108" t="s">
        <v>26</v>
      </c>
      <c r="C77" s="109">
        <v>7.491853242906799E-4</v>
      </c>
      <c r="D77" s="97">
        <v>9.5809277048711943E-4</v>
      </c>
      <c r="E77" s="97">
        <v>6.2672233858931882E-4</v>
      </c>
      <c r="F77" s="97">
        <v>5.5468528817675337E-4</v>
      </c>
      <c r="G77" s="97">
        <v>7.491853242906799E-4</v>
      </c>
      <c r="H77" s="97">
        <v>1.0373335259409415E-3</v>
      </c>
      <c r="I77" s="97">
        <v>1.1597965116423024E-3</v>
      </c>
      <c r="J77" s="97">
        <v>1.1742039217248156E-3</v>
      </c>
      <c r="K77" s="97">
        <v>1.1021668713122501E-3</v>
      </c>
      <c r="L77" s="97">
        <v>8.4283348982701486E-4</v>
      </c>
      <c r="M77" s="97">
        <v>6.5553715875434494E-4</v>
      </c>
      <c r="N77" s="97">
        <v>6.7714827387811455E-4</v>
      </c>
      <c r="O77" s="110">
        <v>1.0286890798914336E-2</v>
      </c>
    </row>
    <row r="78" spans="1:15" x14ac:dyDescent="0.2">
      <c r="A78" s="236"/>
      <c r="B78" s="108" t="s">
        <v>27</v>
      </c>
      <c r="C78" s="109">
        <v>2.1729136138920069E-2</v>
      </c>
      <c r="D78" s="97">
        <v>2.7788222177657411E-2</v>
      </c>
      <c r="E78" s="97">
        <v>1.8177258116211986E-2</v>
      </c>
      <c r="F78" s="97">
        <v>1.6087918102854284E-2</v>
      </c>
      <c r="G78" s="97">
        <v>2.1729136138920069E-2</v>
      </c>
      <c r="H78" s="97">
        <v>3.0086496192350872E-2</v>
      </c>
      <c r="I78" s="97">
        <v>3.3638374215058962E-2</v>
      </c>
      <c r="J78" s="97">
        <v>3.4056242217730501E-2</v>
      </c>
      <c r="K78" s="97">
        <v>3.1966902204372809E-2</v>
      </c>
      <c r="L78" s="97">
        <v>2.4445278156285076E-2</v>
      </c>
      <c r="M78" s="97">
        <v>1.9012994121555059E-2</v>
      </c>
      <c r="N78" s="97">
        <v>1.9639796125562371E-2</v>
      </c>
      <c r="O78" s="110">
        <v>0.29835775390747948</v>
      </c>
    </row>
    <row r="79" spans="1:15" x14ac:dyDescent="0.2">
      <c r="A79" s="236"/>
      <c r="B79" s="108" t="s">
        <v>50</v>
      </c>
      <c r="C79" s="109">
        <v>3.2196663693690723E-2</v>
      </c>
      <c r="D79" s="97">
        <v>4.1174579531354477E-2</v>
      </c>
      <c r="E79" s="97">
        <v>2.6933747512991275E-2</v>
      </c>
      <c r="F79" s="97">
        <v>2.3837914465521016E-2</v>
      </c>
      <c r="G79" s="97">
        <v>3.2196663693690723E-2</v>
      </c>
      <c r="H79" s="97">
        <v>4.4579995883571769E-2</v>
      </c>
      <c r="I79" s="97">
        <v>4.984291206427121E-2</v>
      </c>
      <c r="J79" s="97">
        <v>5.0462078673765266E-2</v>
      </c>
      <c r="K79" s="97">
        <v>4.7366245626295003E-2</v>
      </c>
      <c r="L79" s="97">
        <v>3.6221246655402065E-2</v>
      </c>
      <c r="M79" s="97">
        <v>2.8172080731979382E-2</v>
      </c>
      <c r="N79" s="97">
        <v>2.910083064622046E-2</v>
      </c>
      <c r="O79" s="110">
        <v>0.44208495917875335</v>
      </c>
    </row>
    <row r="80" spans="1:15" x14ac:dyDescent="0.2">
      <c r="A80" s="236"/>
      <c r="B80" s="108" t="s">
        <v>89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">
      <c r="A81" s="236"/>
      <c r="B81" s="108" t="s">
        <v>91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">
      <c r="A82" s="98" t="s">
        <v>56</v>
      </c>
      <c r="B82" s="98" t="s">
        <v>71</v>
      </c>
      <c r="C82" s="105">
        <v>5.6244496114569355E-3</v>
      </c>
      <c r="D82" s="106">
        <v>4.0905088083323165E-3</v>
      </c>
      <c r="E82" s="106">
        <v>3.5791952072907769E-3</v>
      </c>
      <c r="F82" s="106">
        <v>6.1357632124984744E-3</v>
      </c>
      <c r="G82" s="106">
        <v>5.6244496114569355E-3</v>
      </c>
      <c r="H82" s="106">
        <v>6.647076813540014E-3</v>
      </c>
      <c r="I82" s="106">
        <v>6.647076813540014E-3</v>
      </c>
      <c r="J82" s="106">
        <v>6.1357632124984744E-3</v>
      </c>
      <c r="K82" s="106">
        <v>6.647076813540014E-3</v>
      </c>
      <c r="L82" s="106">
        <v>4.0905088083323165E-3</v>
      </c>
      <c r="M82" s="106">
        <v>4.0905088083323165E-3</v>
      </c>
      <c r="N82" s="106">
        <v>5.6244496114569355E-3</v>
      </c>
      <c r="O82" s="107">
        <v>6.4936827332275529E-2</v>
      </c>
    </row>
    <row r="83" spans="1:15" x14ac:dyDescent="0.2">
      <c r="A83" s="236"/>
      <c r="B83" s="108" t="s">
        <v>25</v>
      </c>
      <c r="C83" s="109">
        <v>2.2190332592396476E-3</v>
      </c>
      <c r="D83" s="97">
        <v>1.6138423703561072E-3</v>
      </c>
      <c r="E83" s="97">
        <v>1.4121120740615938E-3</v>
      </c>
      <c r="F83" s="97">
        <v>2.4207635555341606E-3</v>
      </c>
      <c r="G83" s="97">
        <v>2.2190332592396476E-3</v>
      </c>
      <c r="H83" s="97">
        <v>2.6224938518286736E-3</v>
      </c>
      <c r="I83" s="97">
        <v>2.6224938518286736E-3</v>
      </c>
      <c r="J83" s="97">
        <v>2.4207635555341606E-3</v>
      </c>
      <c r="K83" s="97">
        <v>2.6224938518286736E-3</v>
      </c>
      <c r="L83" s="97">
        <v>1.6138423703561072E-3</v>
      </c>
      <c r="M83" s="97">
        <v>1.6138423703561072E-3</v>
      </c>
      <c r="N83" s="97">
        <v>2.2190332592396476E-3</v>
      </c>
      <c r="O83" s="110">
        <v>2.5619747629403201E-2</v>
      </c>
    </row>
    <row r="84" spans="1:15" x14ac:dyDescent="0.2">
      <c r="A84" s="236"/>
      <c r="B84" s="108" t="s">
        <v>26</v>
      </c>
      <c r="C84" s="109">
        <v>7.9240755453821915E-5</v>
      </c>
      <c r="D84" s="97">
        <v>5.7629640330052294E-5</v>
      </c>
      <c r="E84" s="97">
        <v>5.0425935288795758E-5</v>
      </c>
      <c r="F84" s="97">
        <v>8.6444460495078445E-5</v>
      </c>
      <c r="G84" s="97">
        <v>7.9240755453821915E-5</v>
      </c>
      <c r="H84" s="97">
        <v>9.3648165536334987E-5</v>
      </c>
      <c r="I84" s="97">
        <v>9.3648165536334987E-5</v>
      </c>
      <c r="J84" s="97">
        <v>8.6444460495078445E-5</v>
      </c>
      <c r="K84" s="97">
        <v>9.3648165536334987E-5</v>
      </c>
      <c r="L84" s="97">
        <v>5.7629640330052294E-5</v>
      </c>
      <c r="M84" s="97">
        <v>5.7629640330052294E-5</v>
      </c>
      <c r="N84" s="97">
        <v>7.9240755453821915E-5</v>
      </c>
      <c r="O84" s="110">
        <v>9.1487054023958031E-4</v>
      </c>
    </row>
    <row r="85" spans="1:15" x14ac:dyDescent="0.2">
      <c r="A85" s="236"/>
      <c r="B85" s="108" t="s">
        <v>27</v>
      </c>
      <c r="C85" s="109">
        <v>2.2982740146934694E-3</v>
      </c>
      <c r="D85" s="97">
        <v>1.6714720106861594E-3</v>
      </c>
      <c r="E85" s="97">
        <v>1.4625380093503896E-3</v>
      </c>
      <c r="F85" s="97">
        <v>2.5072080160292391E-3</v>
      </c>
      <c r="G85" s="97">
        <v>2.2982740146934694E-3</v>
      </c>
      <c r="H85" s="97">
        <v>2.7161420173650087E-3</v>
      </c>
      <c r="I85" s="97">
        <v>2.7161420173650087E-3</v>
      </c>
      <c r="J85" s="97">
        <v>2.5072080160292391E-3</v>
      </c>
      <c r="K85" s="97">
        <v>2.7161420173650087E-3</v>
      </c>
      <c r="L85" s="97">
        <v>1.6714720106861594E-3</v>
      </c>
      <c r="M85" s="97">
        <v>1.6714720106861594E-3</v>
      </c>
      <c r="N85" s="97">
        <v>2.2982740146934694E-3</v>
      </c>
      <c r="O85" s="110">
        <v>2.6534618169642785E-2</v>
      </c>
    </row>
    <row r="86" spans="1:15" x14ac:dyDescent="0.2">
      <c r="A86" s="236"/>
      <c r="B86" s="108" t="s">
        <v>50</v>
      </c>
      <c r="C86" s="109">
        <v>3.405416352217288E-3</v>
      </c>
      <c r="D86" s="97">
        <v>2.4766664379762093E-3</v>
      </c>
      <c r="E86" s="97">
        <v>2.1670831332291831E-3</v>
      </c>
      <c r="F86" s="97">
        <v>3.7149996569643138E-3</v>
      </c>
      <c r="G86" s="97">
        <v>3.405416352217288E-3</v>
      </c>
      <c r="H86" s="97">
        <v>4.0245829617113404E-3</v>
      </c>
      <c r="I86" s="97">
        <v>4.0245829617113404E-3</v>
      </c>
      <c r="J86" s="97">
        <v>3.7149996569643138E-3</v>
      </c>
      <c r="K86" s="97">
        <v>4.0245829617113404E-3</v>
      </c>
      <c r="L86" s="97">
        <v>2.4766664379762093E-3</v>
      </c>
      <c r="M86" s="97">
        <v>2.4766664379762093E-3</v>
      </c>
      <c r="N86" s="97">
        <v>3.405416352217288E-3</v>
      </c>
      <c r="O86" s="110">
        <v>3.9317079702872321E-2</v>
      </c>
    </row>
    <row r="87" spans="1:15" x14ac:dyDescent="0.2">
      <c r="A87" s="236"/>
      <c r="B87" s="108" t="s">
        <v>89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">
      <c r="A88" s="236"/>
      <c r="B88" s="108" t="s">
        <v>91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">
      <c r="A89" s="98" t="s">
        <v>57</v>
      </c>
      <c r="B89" s="98" t="s">
        <v>71</v>
      </c>
      <c r="C89" s="105">
        <v>1.0226272020830792E-2</v>
      </c>
      <c r="D89" s="106">
        <v>1.176021282395541E-2</v>
      </c>
      <c r="E89" s="106">
        <v>8.181017616664633E-3</v>
      </c>
      <c r="F89" s="106">
        <v>1.0226272020830792E-2</v>
      </c>
      <c r="G89" s="106">
        <v>1.3805467228121569E-2</v>
      </c>
      <c r="H89" s="106">
        <v>1.6362035233329266E-2</v>
      </c>
      <c r="I89" s="106">
        <v>1.8918603238536964E-2</v>
      </c>
      <c r="J89" s="106">
        <v>1.6873348834370805E-2</v>
      </c>
      <c r="K89" s="106">
        <v>1.8918603238536964E-2</v>
      </c>
      <c r="L89" s="106">
        <v>1.3805467228121569E-2</v>
      </c>
      <c r="M89" s="106">
        <v>8.181017616664633E-3</v>
      </c>
      <c r="N89" s="106">
        <v>9.7149584197892512E-3</v>
      </c>
      <c r="O89" s="107">
        <v>0.15697327551975263</v>
      </c>
    </row>
    <row r="90" spans="1:15" x14ac:dyDescent="0.2">
      <c r="A90" s="236"/>
      <c r="B90" s="108" t="s">
        <v>25</v>
      </c>
      <c r="C90" s="109">
        <v>4.0346059258902682E-3</v>
      </c>
      <c r="D90" s="97">
        <v>4.6397968147738082E-3</v>
      </c>
      <c r="E90" s="97">
        <v>3.2276847407122144E-3</v>
      </c>
      <c r="F90" s="97">
        <v>4.0346059258902682E-3</v>
      </c>
      <c r="G90" s="97">
        <v>5.4467179999518629E-3</v>
      </c>
      <c r="H90" s="97">
        <v>6.4553694814244288E-3</v>
      </c>
      <c r="I90" s="97">
        <v>7.4640209628969948E-3</v>
      </c>
      <c r="J90" s="97">
        <v>6.657099777718941E-3</v>
      </c>
      <c r="K90" s="97">
        <v>7.4640209628969948E-3</v>
      </c>
      <c r="L90" s="97">
        <v>5.4467179999518629E-3</v>
      </c>
      <c r="M90" s="97">
        <v>3.2276847407122144E-3</v>
      </c>
      <c r="N90" s="97">
        <v>3.8328756295957543E-3</v>
      </c>
      <c r="O90" s="110">
        <v>6.1931200962415618E-2</v>
      </c>
    </row>
    <row r="91" spans="1:15" x14ac:dyDescent="0.2">
      <c r="A91" s="236"/>
      <c r="B91" s="108" t="s">
        <v>26</v>
      </c>
      <c r="C91" s="109">
        <v>1.4407410082513075E-4</v>
      </c>
      <c r="D91" s="97">
        <v>1.6568521594890036E-4</v>
      </c>
      <c r="E91" s="97">
        <v>1.1525928066010459E-4</v>
      </c>
      <c r="F91" s="97">
        <v>1.4407410082513075E-4</v>
      </c>
      <c r="G91" s="97">
        <v>1.945000361139265E-4</v>
      </c>
      <c r="H91" s="97">
        <v>2.3051856132020918E-4</v>
      </c>
      <c r="I91" s="97">
        <v>2.6653708652649188E-4</v>
      </c>
      <c r="J91" s="97">
        <v>2.3772226636146571E-4</v>
      </c>
      <c r="K91" s="97">
        <v>2.6653708652649188E-4</v>
      </c>
      <c r="L91" s="97">
        <v>1.945000361139265E-4</v>
      </c>
      <c r="M91" s="97">
        <v>1.1525928066010459E-4</v>
      </c>
      <c r="N91" s="97">
        <v>1.3687039578387422E-4</v>
      </c>
      <c r="O91" s="110">
        <v>2.2115374476657564E-3</v>
      </c>
    </row>
    <row r="92" spans="1:15" x14ac:dyDescent="0.2">
      <c r="A92" s="236"/>
      <c r="B92" s="108" t="s">
        <v>27</v>
      </c>
      <c r="C92" s="109">
        <v>4.1786800267153987E-3</v>
      </c>
      <c r="D92" s="97">
        <v>4.8054820307227089E-3</v>
      </c>
      <c r="E92" s="97">
        <v>3.3429440213723189E-3</v>
      </c>
      <c r="F92" s="97">
        <v>4.1786800267153987E-3</v>
      </c>
      <c r="G92" s="97">
        <v>5.6412180360657892E-3</v>
      </c>
      <c r="H92" s="97">
        <v>6.6858880427446378E-3</v>
      </c>
      <c r="I92" s="97">
        <v>7.7305580494234864E-3</v>
      </c>
      <c r="J92" s="97">
        <v>6.894822044080407E-3</v>
      </c>
      <c r="K92" s="97">
        <v>7.7305580494234864E-3</v>
      </c>
      <c r="L92" s="97">
        <v>5.6412180360657892E-3</v>
      </c>
      <c r="M92" s="97">
        <v>3.3429440213723189E-3</v>
      </c>
      <c r="N92" s="97">
        <v>3.9697460253796286E-3</v>
      </c>
      <c r="O92" s="110">
        <v>6.4142738410081362E-2</v>
      </c>
    </row>
    <row r="93" spans="1:15" x14ac:dyDescent="0.2">
      <c r="A93" s="236"/>
      <c r="B93" s="108" t="s">
        <v>50</v>
      </c>
      <c r="C93" s="109">
        <v>6.1916660949405235E-3</v>
      </c>
      <c r="D93" s="97">
        <v>7.1204160091816017E-3</v>
      </c>
      <c r="E93" s="97">
        <v>4.9533328759524186E-3</v>
      </c>
      <c r="F93" s="97">
        <v>6.1916660949405235E-3</v>
      </c>
      <c r="G93" s="97">
        <v>8.3587492281697057E-3</v>
      </c>
      <c r="H93" s="97">
        <v>9.9066657519048373E-3</v>
      </c>
      <c r="I93" s="97">
        <v>1.1454582275639969E-2</v>
      </c>
      <c r="J93" s="97">
        <v>1.0216249056651864E-2</v>
      </c>
      <c r="K93" s="97">
        <v>1.1454582275639969E-2</v>
      </c>
      <c r="L93" s="97">
        <v>8.3587492281697057E-3</v>
      </c>
      <c r="M93" s="97">
        <v>4.9533328759524186E-3</v>
      </c>
      <c r="N93" s="97">
        <v>5.8820827901934969E-3</v>
      </c>
      <c r="O93" s="110">
        <v>9.5042074557337028E-2</v>
      </c>
    </row>
    <row r="94" spans="1:15" x14ac:dyDescent="0.2">
      <c r="A94" s="236"/>
      <c r="B94" s="108" t="s">
        <v>89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">
      <c r="A95" s="236"/>
      <c r="B95" s="108" t="s">
        <v>91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">
      <c r="A96" s="98" t="s">
        <v>58</v>
      </c>
      <c r="B96" s="98" t="s">
        <v>71</v>
      </c>
      <c r="C96" s="105">
        <v>1.7895976036453886E-2</v>
      </c>
      <c r="D96" s="106">
        <v>1.6873348834370805E-2</v>
      </c>
      <c r="E96" s="106">
        <v>1.5339408031246187E-2</v>
      </c>
      <c r="F96" s="106">
        <v>1.6362035233329266E-2</v>
      </c>
      <c r="G96" s="106">
        <v>2.0452544041661583E-2</v>
      </c>
      <c r="H96" s="106">
        <v>2.352042564791082E-2</v>
      </c>
      <c r="I96" s="106">
        <v>2.4543052849993897E-2</v>
      </c>
      <c r="J96" s="106">
        <v>2.5565680052076978E-2</v>
      </c>
      <c r="K96" s="106">
        <v>2.6588307254160056E-2</v>
      </c>
      <c r="L96" s="106">
        <v>2.0452544041661583E-2</v>
      </c>
      <c r="M96" s="106">
        <v>1.6362035233329266E-2</v>
      </c>
      <c r="N96" s="106">
        <v>1.7895976036453886E-2</v>
      </c>
      <c r="O96" s="107">
        <v>0.24185133329264821</v>
      </c>
    </row>
    <row r="97" spans="1:15" x14ac:dyDescent="0.2">
      <c r="A97" s="236"/>
      <c r="B97" s="108" t="s">
        <v>25</v>
      </c>
      <c r="C97" s="109">
        <v>7.0605603703079705E-3</v>
      </c>
      <c r="D97" s="97">
        <v>6.657099777718941E-3</v>
      </c>
      <c r="E97" s="97">
        <v>6.0519088888354011E-3</v>
      </c>
      <c r="F97" s="97">
        <v>6.4553694814244288E-3</v>
      </c>
      <c r="G97" s="97">
        <v>8.0692118517805365E-3</v>
      </c>
      <c r="H97" s="97">
        <v>9.2795936295476163E-3</v>
      </c>
      <c r="I97" s="97">
        <v>9.6830542221366424E-3</v>
      </c>
      <c r="J97" s="97">
        <v>1.008651481472567E-2</v>
      </c>
      <c r="K97" s="97">
        <v>1.0489975407314694E-2</v>
      </c>
      <c r="L97" s="97">
        <v>8.0692118517805365E-3</v>
      </c>
      <c r="M97" s="97">
        <v>6.4553694814244288E-3</v>
      </c>
      <c r="N97" s="97">
        <v>7.0605603703079705E-3</v>
      </c>
      <c r="O97" s="110">
        <v>9.5418430147304847E-2</v>
      </c>
    </row>
    <row r="98" spans="1:15" x14ac:dyDescent="0.2">
      <c r="A98" s="236"/>
      <c r="B98" s="108" t="s">
        <v>26</v>
      </c>
      <c r="C98" s="109">
        <v>2.5212967644397882E-4</v>
      </c>
      <c r="D98" s="97">
        <v>2.3772226636146571E-4</v>
      </c>
      <c r="E98" s="97">
        <v>2.1611115123769612E-4</v>
      </c>
      <c r="F98" s="97">
        <v>2.3051856132020918E-4</v>
      </c>
      <c r="G98" s="97">
        <v>2.8814820165026149E-4</v>
      </c>
      <c r="H98" s="97">
        <v>3.3137043189780072E-4</v>
      </c>
      <c r="I98" s="97">
        <v>3.4577784198031378E-4</v>
      </c>
      <c r="J98" s="97">
        <v>3.6018525206282689E-4</v>
      </c>
      <c r="K98" s="97">
        <v>3.7459266214533995E-4</v>
      </c>
      <c r="L98" s="97">
        <v>2.8814820165026149E-4</v>
      </c>
      <c r="M98" s="97">
        <v>2.3051856132020918E-4</v>
      </c>
      <c r="N98" s="97">
        <v>2.5212967644397882E-4</v>
      </c>
      <c r="O98" s="110">
        <v>3.4073524845143421E-3</v>
      </c>
    </row>
    <row r="99" spans="1:15" x14ac:dyDescent="0.2">
      <c r="A99" s="236"/>
      <c r="B99" s="108" t="s">
        <v>27</v>
      </c>
      <c r="C99" s="109">
        <v>7.3126900467519497E-3</v>
      </c>
      <c r="D99" s="97">
        <v>6.894822044080407E-3</v>
      </c>
      <c r="E99" s="97">
        <v>6.2680200400730968E-3</v>
      </c>
      <c r="F99" s="97">
        <v>6.6858880427446378E-3</v>
      </c>
      <c r="G99" s="97">
        <v>8.3573600534307974E-3</v>
      </c>
      <c r="H99" s="97">
        <v>9.6109640614454178E-3</v>
      </c>
      <c r="I99" s="97">
        <v>1.0028832064116956E-2</v>
      </c>
      <c r="J99" s="97">
        <v>1.0446700066788496E-2</v>
      </c>
      <c r="K99" s="97">
        <v>1.0864568069460035E-2</v>
      </c>
      <c r="L99" s="97">
        <v>8.3573600534307974E-3</v>
      </c>
      <c r="M99" s="97">
        <v>6.6858880427446378E-3</v>
      </c>
      <c r="N99" s="97">
        <v>7.3126900467519497E-3</v>
      </c>
      <c r="O99" s="110">
        <v>9.8825782631819181E-2</v>
      </c>
    </row>
    <row r="100" spans="1:15" x14ac:dyDescent="0.2">
      <c r="A100" s="236"/>
      <c r="B100" s="108" t="s">
        <v>50</v>
      </c>
      <c r="C100" s="109">
        <v>1.0835415666145915E-2</v>
      </c>
      <c r="D100" s="97">
        <v>1.0216249056651864E-2</v>
      </c>
      <c r="E100" s="97">
        <v>9.2874991424107857E-3</v>
      </c>
      <c r="F100" s="97">
        <v>9.9066657519048373E-3</v>
      </c>
      <c r="G100" s="97">
        <v>1.2383332189881047E-2</v>
      </c>
      <c r="H100" s="97">
        <v>1.4240832018363203E-2</v>
      </c>
      <c r="I100" s="97">
        <v>1.4859998627857255E-2</v>
      </c>
      <c r="J100" s="97">
        <v>1.5479165237351308E-2</v>
      </c>
      <c r="K100" s="97">
        <v>1.6098331846845362E-2</v>
      </c>
      <c r="L100" s="97">
        <v>1.2383332189881047E-2</v>
      </c>
      <c r="M100" s="97">
        <v>9.9066657519048373E-3</v>
      </c>
      <c r="N100" s="97">
        <v>1.0835415666145915E-2</v>
      </c>
      <c r="O100" s="110">
        <v>0.14643290314534335</v>
      </c>
    </row>
    <row r="101" spans="1:15" x14ac:dyDescent="0.2">
      <c r="A101" s="236"/>
      <c r="B101" s="108" t="s">
        <v>89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">
      <c r="A102" s="236"/>
      <c r="B102" s="108" t="s">
        <v>91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">
      <c r="A103" s="98" t="s">
        <v>82</v>
      </c>
      <c r="B103" s="98" t="s">
        <v>71</v>
      </c>
      <c r="C103" s="105">
        <v>7.465178575206477E-2</v>
      </c>
      <c r="D103" s="106">
        <v>0.10839848342080639</v>
      </c>
      <c r="E103" s="106">
        <v>6.3914200130192445E-2</v>
      </c>
      <c r="F103" s="106">
        <v>4.704085129582164E-2</v>
      </c>
      <c r="G103" s="106">
        <v>5.2153987306237035E-2</v>
      </c>
      <c r="H103" s="106">
        <v>6.3402886529150909E-2</v>
      </c>
      <c r="I103" s="106">
        <v>7.0561276943732459E-2</v>
      </c>
      <c r="J103" s="106">
        <v>7.1583904145815544E-2</v>
      </c>
      <c r="K103" s="106">
        <v>7.1583904145815544E-2</v>
      </c>
      <c r="L103" s="106">
        <v>5.4199241710403197E-2</v>
      </c>
      <c r="M103" s="106">
        <v>5.4710555311444732E-2</v>
      </c>
      <c r="N103" s="106">
        <v>5.6244496114569352E-2</v>
      </c>
      <c r="O103" s="107">
        <v>0.7884455728060541</v>
      </c>
    </row>
    <row r="104" spans="1:15" x14ac:dyDescent="0.2">
      <c r="A104" s="236"/>
      <c r="B104" s="108" t="s">
        <v>25</v>
      </c>
      <c r="C104" s="109">
        <v>2.9452623258998951E-2</v>
      </c>
      <c r="D104" s="97">
        <v>4.2766822814436847E-2</v>
      </c>
      <c r="E104" s="97">
        <v>2.5216287036814174E-2</v>
      </c>
      <c r="F104" s="97">
        <v>1.8559187259095233E-2</v>
      </c>
      <c r="G104" s="97">
        <v>2.0576490222040368E-2</v>
      </c>
      <c r="H104" s="97">
        <v>2.5014556740519667E-2</v>
      </c>
      <c r="I104" s="97">
        <v>2.7838780888642847E-2</v>
      </c>
      <c r="J104" s="97">
        <v>2.8242241481231882E-2</v>
      </c>
      <c r="K104" s="97">
        <v>2.8242241481231882E-2</v>
      </c>
      <c r="L104" s="97">
        <v>2.1383411407218424E-2</v>
      </c>
      <c r="M104" s="97">
        <v>2.1585141703512931E-2</v>
      </c>
      <c r="N104" s="97">
        <v>2.2190332592396472E-2</v>
      </c>
      <c r="O104" s="110">
        <v>0.31106811688613978</v>
      </c>
    </row>
    <row r="105" spans="1:15" x14ac:dyDescent="0.2">
      <c r="A105" s="236"/>
      <c r="B105" s="108" t="s">
        <v>26</v>
      </c>
      <c r="C105" s="109">
        <v>1.0517409360234545E-3</v>
      </c>
      <c r="D105" s="97">
        <v>1.527185468746386E-3</v>
      </c>
      <c r="E105" s="97">
        <v>9.0046313015706709E-4</v>
      </c>
      <c r="F105" s="97">
        <v>6.6274086379560144E-4</v>
      </c>
      <c r="G105" s="97">
        <v>7.3477791420816689E-4</v>
      </c>
      <c r="H105" s="97">
        <v>8.9325942511581059E-4</v>
      </c>
      <c r="I105" s="97">
        <v>9.9411129569340227E-4</v>
      </c>
      <c r="J105" s="97">
        <v>1.0085187057759153E-3</v>
      </c>
      <c r="K105" s="97">
        <v>1.0085187057759153E-3</v>
      </c>
      <c r="L105" s="97">
        <v>7.6359273437319301E-4</v>
      </c>
      <c r="M105" s="97">
        <v>7.7079643941444951E-4</v>
      </c>
      <c r="N105" s="97">
        <v>7.9240755453821913E-4</v>
      </c>
      <c r="O105" s="110">
        <v>1.1108113173617581E-2</v>
      </c>
    </row>
    <row r="106" spans="1:15" x14ac:dyDescent="0.2">
      <c r="A106" s="236"/>
      <c r="B106" s="108" t="s">
        <v>27</v>
      </c>
      <c r="C106" s="109">
        <v>3.0504364195022407E-2</v>
      </c>
      <c r="D106" s="97">
        <v>4.4294008283183237E-2</v>
      </c>
      <c r="E106" s="97">
        <v>2.611675016697124E-2</v>
      </c>
      <c r="F106" s="97">
        <v>1.9221928122890836E-2</v>
      </c>
      <c r="G106" s="97">
        <v>2.1311268136248535E-2</v>
      </c>
      <c r="H106" s="97">
        <v>2.5907816165635478E-2</v>
      </c>
      <c r="I106" s="97">
        <v>2.883289218433625E-2</v>
      </c>
      <c r="J106" s="97">
        <v>2.9250760187007799E-2</v>
      </c>
      <c r="K106" s="97">
        <v>2.9250760187007799E-2</v>
      </c>
      <c r="L106" s="97">
        <v>2.2147004141591618E-2</v>
      </c>
      <c r="M106" s="97">
        <v>2.2355938142927381E-2</v>
      </c>
      <c r="N106" s="97">
        <v>2.2982740146934692E-2</v>
      </c>
      <c r="O106" s="110">
        <v>0.32217623005975721</v>
      </c>
    </row>
    <row r="107" spans="1:15" x14ac:dyDescent="0.2">
      <c r="A107" s="236"/>
      <c r="B107" s="108" t="s">
        <v>50</v>
      </c>
      <c r="C107" s="109">
        <v>4.5199162493065818E-2</v>
      </c>
      <c r="D107" s="97">
        <v>6.5631660606369546E-2</v>
      </c>
      <c r="E107" s="97">
        <v>3.8697913093378271E-2</v>
      </c>
      <c r="F107" s="97">
        <v>2.8481664036726407E-2</v>
      </c>
      <c r="G107" s="97">
        <v>3.1577497084196667E-2</v>
      </c>
      <c r="H107" s="97">
        <v>3.8388329788631242E-2</v>
      </c>
      <c r="I107" s="97">
        <v>4.2722496055089612E-2</v>
      </c>
      <c r="J107" s="97">
        <v>4.3341662664583662E-2</v>
      </c>
      <c r="K107" s="97">
        <v>4.3341662664583662E-2</v>
      </c>
      <c r="L107" s="97">
        <v>3.2815830303184773E-2</v>
      </c>
      <c r="M107" s="97">
        <v>3.3125413607931802E-2</v>
      </c>
      <c r="N107" s="97">
        <v>3.405416352217288E-2</v>
      </c>
      <c r="O107" s="110">
        <v>0.47737745591991443</v>
      </c>
    </row>
    <row r="108" spans="1:15" x14ac:dyDescent="0.2">
      <c r="A108" s="236"/>
      <c r="B108" s="108" t="s">
        <v>89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">
      <c r="A109" s="236"/>
      <c r="B109" s="108" t="s">
        <v>91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">
      <c r="A110" s="98" t="s">
        <v>85</v>
      </c>
      <c r="B110" s="98" t="s">
        <v>71</v>
      </c>
      <c r="C110" s="105">
        <v>1.9429916839578502E-2</v>
      </c>
      <c r="D110" s="106">
        <v>3.0678816062492374E-2</v>
      </c>
      <c r="E110" s="106">
        <v>1.5850721632287727E-2</v>
      </c>
      <c r="F110" s="106">
        <v>1.0226272020830792E-2</v>
      </c>
      <c r="G110" s="106">
        <v>1.4316780829163107E-2</v>
      </c>
      <c r="H110" s="106">
        <v>2.3009112046869281E-2</v>
      </c>
      <c r="I110" s="106">
        <v>2.7099620855201598E-2</v>
      </c>
      <c r="J110" s="106">
        <v>2.5565680052076978E-2</v>
      </c>
      <c r="K110" s="106">
        <v>2.505436645103544E-2</v>
      </c>
      <c r="L110" s="106">
        <v>1.9429916839578502E-2</v>
      </c>
      <c r="M110" s="106">
        <v>1.6362035233329266E-2</v>
      </c>
      <c r="N110" s="106">
        <v>1.5850721632287727E-2</v>
      </c>
      <c r="O110" s="107">
        <v>0.24287396049473134</v>
      </c>
    </row>
    <row r="111" spans="1:15" x14ac:dyDescent="0.2">
      <c r="A111" s="236"/>
      <c r="B111" s="108" t="s">
        <v>25</v>
      </c>
      <c r="C111" s="109">
        <v>7.6657512591915087E-3</v>
      </c>
      <c r="D111" s="97">
        <v>1.2103817777670802E-2</v>
      </c>
      <c r="E111" s="97">
        <v>6.2536391851299167E-3</v>
      </c>
      <c r="F111" s="97">
        <v>4.0346059258902682E-3</v>
      </c>
      <c r="G111" s="97">
        <v>5.648448296246375E-3</v>
      </c>
      <c r="H111" s="97">
        <v>9.0778633332531042E-3</v>
      </c>
      <c r="I111" s="97">
        <v>1.0691705703609212E-2</v>
      </c>
      <c r="J111" s="97">
        <v>1.008651481472567E-2</v>
      </c>
      <c r="K111" s="97">
        <v>9.884784518431158E-3</v>
      </c>
      <c r="L111" s="97">
        <v>7.6657512591915087E-3</v>
      </c>
      <c r="M111" s="97">
        <v>6.4553694814244288E-3</v>
      </c>
      <c r="N111" s="97">
        <v>6.2536391851299167E-3</v>
      </c>
      <c r="O111" s="110">
        <v>9.5821890739893875E-2</v>
      </c>
    </row>
    <row r="112" spans="1:15" x14ac:dyDescent="0.2">
      <c r="A112" s="236"/>
      <c r="B112" s="108" t="s">
        <v>26</v>
      </c>
      <c r="C112" s="109">
        <v>2.7374079156774843E-4</v>
      </c>
      <c r="D112" s="97">
        <v>4.3222230247539224E-4</v>
      </c>
      <c r="E112" s="97">
        <v>2.2331485627895265E-4</v>
      </c>
      <c r="F112" s="97">
        <v>1.4407410082513075E-4</v>
      </c>
      <c r="G112" s="97">
        <v>2.0170374115518303E-4</v>
      </c>
      <c r="H112" s="97">
        <v>3.2416672685654416E-4</v>
      </c>
      <c r="I112" s="97">
        <v>3.8179636718659651E-4</v>
      </c>
      <c r="J112" s="97">
        <v>3.6018525206282689E-4</v>
      </c>
      <c r="K112" s="97">
        <v>3.5298154702157033E-4</v>
      </c>
      <c r="L112" s="97">
        <v>2.7374079156774843E-4</v>
      </c>
      <c r="M112" s="97">
        <v>2.3051856132020918E-4</v>
      </c>
      <c r="N112" s="97">
        <v>2.2331485627895265E-4</v>
      </c>
      <c r="O112" s="110">
        <v>3.4217598945968561E-3</v>
      </c>
    </row>
    <row r="113" spans="1:15" x14ac:dyDescent="0.2">
      <c r="A113" s="236"/>
      <c r="B113" s="108" t="s">
        <v>27</v>
      </c>
      <c r="C113" s="109">
        <v>7.9394920507592573E-3</v>
      </c>
      <c r="D113" s="97">
        <v>1.2536040080146194E-2</v>
      </c>
      <c r="E113" s="97">
        <v>6.4769540414088694E-3</v>
      </c>
      <c r="F113" s="97">
        <v>4.1786800267153987E-3</v>
      </c>
      <c r="G113" s="97">
        <v>5.8501520374015584E-3</v>
      </c>
      <c r="H113" s="97">
        <v>9.4020300601096486E-3</v>
      </c>
      <c r="I113" s="97">
        <v>1.1073502070795809E-2</v>
      </c>
      <c r="J113" s="97">
        <v>1.0446700066788496E-2</v>
      </c>
      <c r="K113" s="97">
        <v>1.0237766065452729E-2</v>
      </c>
      <c r="L113" s="97">
        <v>7.9394920507592573E-3</v>
      </c>
      <c r="M113" s="97">
        <v>6.6858880427446378E-3</v>
      </c>
      <c r="N113" s="97">
        <v>6.4769540414088694E-3</v>
      </c>
      <c r="O113" s="110">
        <v>9.9243650634490713E-2</v>
      </c>
    </row>
    <row r="114" spans="1:15" x14ac:dyDescent="0.2">
      <c r="A114" s="236"/>
      <c r="B114" s="108" t="s">
        <v>50</v>
      </c>
      <c r="C114" s="109">
        <v>1.1764165580386994E-2</v>
      </c>
      <c r="D114" s="97">
        <v>1.8574998284821571E-2</v>
      </c>
      <c r="E114" s="97">
        <v>9.5970824471578106E-3</v>
      </c>
      <c r="F114" s="97">
        <v>6.1916660949405235E-3</v>
      </c>
      <c r="G114" s="97">
        <v>8.6683325329167324E-3</v>
      </c>
      <c r="H114" s="97">
        <v>1.3931248713616177E-2</v>
      </c>
      <c r="I114" s="97">
        <v>1.6407915151592387E-2</v>
      </c>
      <c r="J114" s="97">
        <v>1.5479165237351308E-2</v>
      </c>
      <c r="K114" s="97">
        <v>1.5169581932604282E-2</v>
      </c>
      <c r="L114" s="97">
        <v>1.1764165580386994E-2</v>
      </c>
      <c r="M114" s="97">
        <v>9.9066657519048373E-3</v>
      </c>
      <c r="N114" s="97">
        <v>9.5970824471578106E-3</v>
      </c>
      <c r="O114" s="110">
        <v>0.14705206975483742</v>
      </c>
    </row>
    <row r="115" spans="1:15" x14ac:dyDescent="0.2">
      <c r="A115" s="236"/>
      <c r="B115" s="108" t="s">
        <v>89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">
      <c r="A116" s="236"/>
      <c r="B116" s="108" t="s">
        <v>91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">
      <c r="A117" s="98" t="s">
        <v>72</v>
      </c>
      <c r="B117" s="99"/>
      <c r="C117" s="105">
        <v>3.9171734975792352</v>
      </c>
      <c r="D117" s="106">
        <v>4.7419223360592389</v>
      </c>
      <c r="E117" s="106">
        <v>3.3158687027543841</v>
      </c>
      <c r="F117" s="106">
        <v>3.0924246590992315</v>
      </c>
      <c r="G117" s="106">
        <v>3.8890512495219496</v>
      </c>
      <c r="H117" s="106">
        <v>4.9234386644289838</v>
      </c>
      <c r="I117" s="106">
        <v>5.1709144473330895</v>
      </c>
      <c r="J117" s="106">
        <v>5.2092629674112043</v>
      </c>
      <c r="K117" s="106">
        <v>5.1913669913747515</v>
      </c>
      <c r="L117" s="106">
        <v>4.0480697794458687</v>
      </c>
      <c r="M117" s="106">
        <v>3.306153744334595</v>
      </c>
      <c r="N117" s="106">
        <v>3.462104392652265</v>
      </c>
      <c r="O117" s="107">
        <v>50.267751431994803</v>
      </c>
    </row>
    <row r="118" spans="1:15" x14ac:dyDescent="0.2">
      <c r="A118" s="98" t="s">
        <v>28</v>
      </c>
      <c r="B118" s="99"/>
      <c r="C118" s="243">
        <v>1.5454557999122669</v>
      </c>
      <c r="D118" s="244">
        <v>1.8708467678353171</v>
      </c>
      <c r="E118" s="244">
        <v>1.3082209714699196</v>
      </c>
      <c r="F118" s="244">
        <v>1.2200648319892173</v>
      </c>
      <c r="G118" s="244">
        <v>1.5343606336160687</v>
      </c>
      <c r="H118" s="244">
        <v>1.9424610230198696</v>
      </c>
      <c r="I118" s="244">
        <v>2.0400984864264142</v>
      </c>
      <c r="J118" s="244">
        <v>2.0552282586485027</v>
      </c>
      <c r="K118" s="244">
        <v>2.0481676982781947</v>
      </c>
      <c r="L118" s="244">
        <v>1.5970987557636624</v>
      </c>
      <c r="M118" s="244">
        <v>1.3043880958403233</v>
      </c>
      <c r="N118" s="244">
        <v>1.36591583621015</v>
      </c>
      <c r="O118" s="245">
        <v>19.832307159009911</v>
      </c>
    </row>
    <row r="119" spans="1:15" x14ac:dyDescent="0.2">
      <c r="A119" s="98" t="s">
        <v>29</v>
      </c>
      <c r="B119" s="99"/>
      <c r="C119" s="243">
        <v>5.5187584321066331E-2</v>
      </c>
      <c r="D119" s="244">
        <v>6.680716055261314E-2</v>
      </c>
      <c r="E119" s="244">
        <v>4.6716027192548651E-2</v>
      </c>
      <c r="F119" s="244">
        <v>4.356800808951955E-2</v>
      </c>
      <c r="G119" s="244">
        <v>5.4791380543797216E-2</v>
      </c>
      <c r="H119" s="244">
        <v>6.9364475842259216E-2</v>
      </c>
      <c r="I119" s="244">
        <v>7.285106908222734E-2</v>
      </c>
      <c r="J119" s="244">
        <v>7.339134696032161E-2</v>
      </c>
      <c r="K119" s="244">
        <v>7.3139217283877622E-2</v>
      </c>
      <c r="L119" s="244">
        <v>5.703173281162801E-2</v>
      </c>
      <c r="M119" s="244">
        <v>4.6579156796764776E-2</v>
      </c>
      <c r="N119" s="244">
        <v>4.8776286834348009E-2</v>
      </c>
      <c r="O119" s="245">
        <v>0.70820344631097132</v>
      </c>
    </row>
    <row r="120" spans="1:15" x14ac:dyDescent="0.2">
      <c r="A120" s="98" t="s">
        <v>30</v>
      </c>
      <c r="B120" s="99"/>
      <c r="C120" s="243">
        <v>1.6006433842333332</v>
      </c>
      <c r="D120" s="244">
        <v>1.9376539283879302</v>
      </c>
      <c r="E120" s="244">
        <v>1.3549369986624684</v>
      </c>
      <c r="F120" s="244">
        <v>1.2636328400787369</v>
      </c>
      <c r="G120" s="244">
        <v>1.5891520141598663</v>
      </c>
      <c r="H120" s="244">
        <v>2.0118254988621289</v>
      </c>
      <c r="I120" s="244">
        <v>2.1129495555086413</v>
      </c>
      <c r="J120" s="244">
        <v>2.1286196056088236</v>
      </c>
      <c r="K120" s="244">
        <v>2.1213069155620721</v>
      </c>
      <c r="L120" s="244">
        <v>1.6541304885752905</v>
      </c>
      <c r="M120" s="244">
        <v>1.3509672526370888</v>
      </c>
      <c r="N120" s="244">
        <v>1.414692123044498</v>
      </c>
      <c r="O120" s="245">
        <v>20.540510605320879</v>
      </c>
    </row>
    <row r="121" spans="1:15" x14ac:dyDescent="0.2">
      <c r="A121" s="98" t="s">
        <v>62</v>
      </c>
      <c r="B121" s="99"/>
      <c r="C121" s="105">
        <v>2.3717176976669676</v>
      </c>
      <c r="D121" s="106">
        <v>2.8710755682239202</v>
      </c>
      <c r="E121" s="106">
        <v>2.0076477312844645</v>
      </c>
      <c r="F121" s="106">
        <v>1.8723598271100144</v>
      </c>
      <c r="G121" s="106">
        <v>2.3546906159058811</v>
      </c>
      <c r="H121" s="106">
        <v>2.9809776414091149</v>
      </c>
      <c r="I121" s="106">
        <v>3.1308159609066752</v>
      </c>
      <c r="J121" s="106">
        <v>3.1540347087627025</v>
      </c>
      <c r="K121" s="106">
        <v>3.143199293096556</v>
      </c>
      <c r="L121" s="106">
        <v>2.4509710236822064</v>
      </c>
      <c r="M121" s="106">
        <v>2.0017656484942714</v>
      </c>
      <c r="N121" s="106">
        <v>2.0961885564421148</v>
      </c>
      <c r="O121" s="107">
        <v>30.435444272984892</v>
      </c>
    </row>
    <row r="122" spans="1:15" x14ac:dyDescent="0.2">
      <c r="A122" s="98" t="s">
        <v>90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">
      <c r="A123" s="111" t="s">
        <v>92</v>
      </c>
      <c r="B123" s="237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">
      <c r="L125" s="239"/>
      <c r="O125" s="239"/>
    </row>
    <row r="126" spans="1:15" x14ac:dyDescent="0.2">
      <c r="L126" s="97"/>
      <c r="O126" s="97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J2" sqref="J2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2" customWidth="1"/>
    <col min="5" max="5" width="24.28515625" style="1" customWidth="1"/>
    <col min="6" max="6" width="7.7109375" style="162" customWidth="1"/>
    <col min="7" max="7" width="6.7109375" style="162" customWidth="1"/>
    <col min="8" max="8" width="11.140625" style="162" bestFit="1" customWidth="1"/>
    <col min="9" max="9" width="11.28515625" style="163" customWidth="1"/>
    <col min="10" max="10" width="13.7109375" style="162" customWidth="1"/>
    <col min="11" max="11" width="13.5703125" style="164" customWidth="1"/>
    <col min="12" max="12" width="14.7109375" style="162" customWidth="1"/>
    <col min="13" max="13" width="13.42578125" style="125" bestFit="1" customWidth="1"/>
    <col min="14" max="17" width="13.42578125" style="125" customWidth="1"/>
    <col min="18" max="18" width="15.5703125" style="235" customWidth="1"/>
    <col min="19" max="16384" width="8.7109375" style="1"/>
  </cols>
  <sheetData>
    <row r="1" spans="2:18" ht="22.5" x14ac:dyDescent="0.2">
      <c r="B1" s="10" t="s">
        <v>99</v>
      </c>
      <c r="C1" s="115"/>
      <c r="D1" s="116"/>
      <c r="E1" s="115"/>
      <c r="F1" s="117" t="s">
        <v>12</v>
      </c>
      <c r="G1" s="118"/>
      <c r="H1" s="119"/>
      <c r="I1" s="120"/>
      <c r="J1" s="250" t="str">
        <f>"True-Up ARR
(CY"&amp;R1&amp;")"</f>
        <v>True-Up ARR
(CY2021)</v>
      </c>
      <c r="K1" s="251" t="str">
        <f>"Projected ARR
(Jan'"&amp;RIGHT(R$1,2)&amp;" - Dec'"&amp;RIGHT(R$1,2)&amp;")"</f>
        <v>Projected ARR
(Jan'21 - Dec'21)</v>
      </c>
      <c r="L1" s="121" t="s">
        <v>46</v>
      </c>
      <c r="M1" s="122"/>
      <c r="N1" s="52"/>
      <c r="O1" s="52"/>
      <c r="P1" s="52"/>
      <c r="Q1" s="52"/>
      <c r="R1" s="123">
        <v>2021</v>
      </c>
    </row>
    <row r="2" spans="2:18" x14ac:dyDescent="0.2">
      <c r="B2" s="10" t="s">
        <v>53</v>
      </c>
      <c r="C2" s="115"/>
      <c r="D2" s="116"/>
      <c r="E2" s="115"/>
      <c r="F2" s="124">
        <v>1</v>
      </c>
      <c r="G2" s="253"/>
      <c r="H2" s="253"/>
      <c r="I2" s="126" t="s">
        <v>6</v>
      </c>
      <c r="J2" s="127">
        <v>50.270308000000007</v>
      </c>
      <c r="K2" s="127">
        <v>30.418417191223799</v>
      </c>
      <c r="L2" s="128"/>
      <c r="M2" s="129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15"/>
      <c r="D3" s="116"/>
      <c r="E3" s="115"/>
      <c r="F3" s="124"/>
      <c r="G3" s="253"/>
      <c r="H3" s="253"/>
      <c r="I3" s="126" t="s">
        <v>10</v>
      </c>
      <c r="J3" s="130">
        <v>5.1131360104153957E-4</v>
      </c>
      <c r="K3" s="130">
        <v>3.0958330474702616E-4</v>
      </c>
      <c r="L3" s="131" t="str">
        <f>"Inv. Jan-Dec'"&amp;RIGHT(R1,2)</f>
        <v>Inv. Jan-Dec'21</v>
      </c>
      <c r="M3" s="129"/>
      <c r="N3" s="52"/>
      <c r="O3" s="52"/>
      <c r="P3" s="52"/>
      <c r="Q3" s="52"/>
      <c r="R3" s="1"/>
    </row>
    <row r="4" spans="2:18" x14ac:dyDescent="0.2">
      <c r="B4" s="9"/>
      <c r="C4" s="115"/>
      <c r="D4" s="116"/>
      <c r="E4" s="115"/>
      <c r="F4" s="124"/>
      <c r="G4" s="125"/>
      <c r="H4" s="125"/>
      <c r="I4" s="51"/>
      <c r="J4" s="125"/>
      <c r="K4" s="132"/>
      <c r="L4" s="125"/>
      <c r="M4" s="133"/>
      <c r="R4" s="1"/>
    </row>
    <row r="5" spans="2:18" x14ac:dyDescent="0.2">
      <c r="B5" s="9"/>
      <c r="C5" s="115"/>
      <c r="D5" s="116"/>
      <c r="E5" s="115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x14ac:dyDescent="0.2">
      <c r="B6" s="10" t="s">
        <v>23</v>
      </c>
      <c r="D6" s="116"/>
      <c r="E6" s="115"/>
      <c r="F6" s="137"/>
      <c r="G6" s="138"/>
      <c r="H6" s="139"/>
      <c r="I6" s="140"/>
      <c r="J6" s="141"/>
      <c r="K6" s="127">
        <v>0</v>
      </c>
      <c r="L6" s="238"/>
      <c r="M6" s="134"/>
      <c r="N6" s="135"/>
      <c r="O6" s="135"/>
      <c r="P6" s="135"/>
      <c r="Q6" s="135"/>
      <c r="R6" s="1"/>
    </row>
    <row r="7" spans="2:18" x14ac:dyDescent="0.2">
      <c r="B7" s="9" t="s">
        <v>78</v>
      </c>
      <c r="D7" s="116"/>
      <c r="E7" s="115"/>
      <c r="F7" s="124"/>
      <c r="G7" s="254"/>
      <c r="H7" s="253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x14ac:dyDescent="0.2">
      <c r="B8" s="10"/>
      <c r="C8" s="115"/>
      <c r="D8" s="116"/>
      <c r="E8" s="115"/>
      <c r="F8" s="124"/>
      <c r="G8" s="253"/>
      <c r="H8" s="253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x14ac:dyDescent="0.2">
      <c r="B9" s="147"/>
      <c r="C9" s="115"/>
      <c r="D9" s="116"/>
      <c r="E9" s="115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2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x14ac:dyDescent="0.2">
      <c r="B11" s="161" t="s">
        <v>102</v>
      </c>
      <c r="E11" s="152"/>
      <c r="L11" s="165"/>
      <c r="M11" s="1"/>
      <c r="N11" s="1"/>
      <c r="O11" s="1"/>
      <c r="P11" s="1"/>
      <c r="Q11" s="1"/>
      <c r="R11" s="136"/>
    </row>
    <row r="12" spans="2:18" x14ac:dyDescent="0.2">
      <c r="E12" s="152"/>
      <c r="L12" s="165"/>
      <c r="R12" s="166" t="s">
        <v>61</v>
      </c>
    </row>
    <row r="13" spans="2:18" x14ac:dyDescent="0.2">
      <c r="E13" s="152"/>
      <c r="F13" s="167"/>
      <c r="G13" s="168"/>
      <c r="H13" s="168"/>
      <c r="I13" s="169" t="s">
        <v>59</v>
      </c>
      <c r="J13" s="170">
        <f t="shared" ref="J13:R13" si="0">SUM(J56:J211)</f>
        <v>13.080935855445704</v>
      </c>
      <c r="K13" s="170">
        <f t="shared" si="0"/>
        <v>7.920069685343174</v>
      </c>
      <c r="L13" s="171">
        <f t="shared" si="0"/>
        <v>5.160866170102536</v>
      </c>
      <c r="M13" s="172">
        <f t="shared" si="0"/>
        <v>0.18429238607046619</v>
      </c>
      <c r="N13" s="170">
        <f t="shared" si="0"/>
        <v>5.3451585561730015</v>
      </c>
      <c r="O13" s="170">
        <f>SUM(O56:O211)</f>
        <v>0</v>
      </c>
      <c r="P13" s="170">
        <f t="shared" si="0"/>
        <v>0</v>
      </c>
      <c r="Q13" s="170">
        <v>0</v>
      </c>
      <c r="R13" s="171">
        <f t="shared" si="0"/>
        <v>5.3451585561730015</v>
      </c>
    </row>
    <row r="14" spans="2:18" x14ac:dyDescent="0.2">
      <c r="E14" s="152"/>
      <c r="F14" s="173"/>
      <c r="G14" s="173"/>
      <c r="H14" s="173"/>
      <c r="I14" s="174" t="s">
        <v>60</v>
      </c>
      <c r="J14" s="170">
        <f>SUM(J20:J211)</f>
        <v>50.267751431994881</v>
      </c>
      <c r="K14" s="170">
        <f>SUM(K20:K211)</f>
        <v>30.435444272984899</v>
      </c>
      <c r="L14" s="171">
        <f>SUM(L20:L211)</f>
        <v>19.832307159009922</v>
      </c>
      <c r="M14" s="246">
        <v>0.70820344631097143</v>
      </c>
      <c r="N14" s="170">
        <f>SUM(N20:N211)</f>
        <v>20.54051060532089</v>
      </c>
      <c r="O14" s="170">
        <f>SUM(O20:O211)</f>
        <v>0</v>
      </c>
      <c r="P14" s="170">
        <f>SUM(P20:P211)</f>
        <v>0</v>
      </c>
      <c r="Q14" s="170">
        <v>0</v>
      </c>
      <c r="R14" s="171">
        <f>SUM(R20:R211)</f>
        <v>20.54051060532089</v>
      </c>
    </row>
    <row r="15" spans="2:18" x14ac:dyDescent="0.2">
      <c r="B15" s="175" t="s">
        <v>84</v>
      </c>
      <c r="E15" s="152"/>
      <c r="J15" s="163"/>
      <c r="L15" s="165"/>
      <c r="M15" s="249"/>
      <c r="N15" s="176"/>
      <c r="O15" s="176"/>
      <c r="P15" s="176"/>
      <c r="Q15" s="176"/>
      <c r="R15" s="177" t="s">
        <v>20</v>
      </c>
    </row>
    <row r="16" spans="2:18" x14ac:dyDescent="0.2">
      <c r="B16" s="178" t="str">
        <f>"** Actual Trued-Up CY"&amp;R1&amp;" Charge reflects "&amp;R1&amp;" True-UP Rate x MW"</f>
        <v>** Actual Trued-Up CY2021 Charge reflects 2021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">
      <c r="B17" s="182" t="s">
        <v>63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" customHeight="1" x14ac:dyDescent="0.2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">
      <c r="B19" s="190" t="s">
        <v>54</v>
      </c>
      <c r="C19" s="248" t="s">
        <v>4</v>
      </c>
      <c r="D19" s="248" t="s">
        <v>5</v>
      </c>
      <c r="E19" s="191" t="s">
        <v>0</v>
      </c>
      <c r="F19" s="192" t="s">
        <v>12</v>
      </c>
      <c r="G19" s="247" t="s">
        <v>1</v>
      </c>
      <c r="H19" s="193" t="s">
        <v>49</v>
      </c>
      <c r="I19" s="193" t="s">
        <v>47</v>
      </c>
      <c r="J19" s="194" t="str">
        <f>"True-Up Charge"</f>
        <v>True-Up Charge</v>
      </c>
      <c r="K19" s="194" t="s">
        <v>48</v>
      </c>
      <c r="L19" s="195" t="s">
        <v>3</v>
      </c>
      <c r="M19" s="196" t="s">
        <v>7</v>
      </c>
      <c r="N19" s="197" t="s">
        <v>103</v>
      </c>
      <c r="O19" s="197" t="s">
        <v>86</v>
      </c>
      <c r="P19" s="197" t="s">
        <v>87</v>
      </c>
      <c r="Q19" s="197" t="s">
        <v>88</v>
      </c>
      <c r="R19" s="198" t="s">
        <v>2</v>
      </c>
    </row>
    <row r="20" spans="1:18" s="52" customFormat="1" ht="12.75" customHeight="1" x14ac:dyDescent="0.2">
      <c r="A20" s="125">
        <v>1</v>
      </c>
      <c r="B20" s="199">
        <f>DATE($R$1,A20,1)</f>
        <v>44197</v>
      </c>
      <c r="C20" s="200">
        <v>44230</v>
      </c>
      <c r="D20" s="200">
        <v>44251</v>
      </c>
      <c r="E20" s="201" t="s">
        <v>21</v>
      </c>
      <c r="F20" s="125">
        <v>9</v>
      </c>
      <c r="G20" s="202">
        <v>2536</v>
      </c>
      <c r="H20" s="203">
        <f>+$K$3</f>
        <v>3.0958330474702616E-4</v>
      </c>
      <c r="I20" s="203">
        <f t="shared" ref="I20:I63" si="1">$J$3</f>
        <v>5.1131360104153957E-4</v>
      </c>
      <c r="J20" s="204">
        <f t="shared" ref="J20:J108" si="2">+$G20*I20</f>
        <v>1.2966912922413443</v>
      </c>
      <c r="K20" s="205">
        <f>+$G20*H20</f>
        <v>0.78510326083845838</v>
      </c>
      <c r="L20" s="206">
        <f t="shared" ref="L20:L34" si="3">+J20-K20</f>
        <v>0.51158803140288589</v>
      </c>
      <c r="M20" s="207">
        <f>G20/$G$212*$M$14</f>
        <v>1.8268595984626577E-2</v>
      </c>
      <c r="N20" s="208">
        <f>SUM(L20:M20)</f>
        <v>0.52985662738751249</v>
      </c>
      <c r="O20" s="207">
        <f>+$P$3</f>
        <v>0</v>
      </c>
      <c r="P20" s="207">
        <f>+G20*O20</f>
        <v>0</v>
      </c>
      <c r="Q20" s="207">
        <v>0</v>
      </c>
      <c r="R20" s="208">
        <f>+N20-Q20</f>
        <v>0.52985662738751249</v>
      </c>
    </row>
    <row r="21" spans="1:18" x14ac:dyDescent="0.2">
      <c r="A21" s="162">
        <v>2</v>
      </c>
      <c r="B21" s="199">
        <f t="shared" ref="B21:B108" si="4">DATE($R$1,A21,1)</f>
        <v>44228</v>
      </c>
      <c r="C21" s="200">
        <v>44258</v>
      </c>
      <c r="D21" s="200">
        <v>44279</v>
      </c>
      <c r="E21" s="209" t="s">
        <v>21</v>
      </c>
      <c r="F21" s="162">
        <v>9</v>
      </c>
      <c r="G21" s="202">
        <v>2976</v>
      </c>
      <c r="H21" s="203">
        <f t="shared" ref="H21:H84" si="5">+$K$3</f>
        <v>3.0958330474702616E-4</v>
      </c>
      <c r="I21" s="203">
        <f t="shared" si="1"/>
        <v>5.1131360104153957E-4</v>
      </c>
      <c r="J21" s="204">
        <f t="shared" si="2"/>
        <v>1.5216692766996218</v>
      </c>
      <c r="K21" s="205">
        <f t="shared" ref="K21:K33" si="6">+$G21*H21</f>
        <v>0.92131991492714982</v>
      </c>
      <c r="L21" s="206">
        <f t="shared" si="3"/>
        <v>0.600349361772472</v>
      </c>
      <c r="M21" s="207">
        <f t="shared" ref="M21:M84" si="7">G21/$G$212*$M$14</f>
        <v>2.1438226202779454E-2</v>
      </c>
      <c r="N21" s="208">
        <f t="shared" ref="N21:N84" si="8">SUM(L21:M21)</f>
        <v>0.62178758797525147</v>
      </c>
      <c r="O21" s="207">
        <f t="shared" ref="O21:O84" si="9">+$P$3</f>
        <v>0</v>
      </c>
      <c r="P21" s="207">
        <f t="shared" ref="P21:P84" si="10">+G21*O21</f>
        <v>0</v>
      </c>
      <c r="Q21" s="207">
        <v>0</v>
      </c>
      <c r="R21" s="208">
        <f t="shared" ref="R21:R84" si="11">+N21-Q21</f>
        <v>0.62178758797525147</v>
      </c>
    </row>
    <row r="22" spans="1:18" x14ac:dyDescent="0.2">
      <c r="A22" s="162">
        <v>3</v>
      </c>
      <c r="B22" s="199">
        <f t="shared" si="4"/>
        <v>44256</v>
      </c>
      <c r="C22" s="200">
        <v>44291</v>
      </c>
      <c r="D22" s="200">
        <v>44312</v>
      </c>
      <c r="E22" s="209" t="s">
        <v>21</v>
      </c>
      <c r="F22" s="162">
        <v>9</v>
      </c>
      <c r="G22" s="202">
        <v>2203</v>
      </c>
      <c r="H22" s="203">
        <f t="shared" si="5"/>
        <v>3.0958330474702616E-4</v>
      </c>
      <c r="I22" s="203">
        <f t="shared" si="1"/>
        <v>5.1131360104153957E-4</v>
      </c>
      <c r="J22" s="204">
        <f t="shared" si="2"/>
        <v>1.1264238630945116</v>
      </c>
      <c r="K22" s="205">
        <f t="shared" si="6"/>
        <v>0.68201202035769859</v>
      </c>
      <c r="L22" s="206">
        <f t="shared" si="3"/>
        <v>0.444411842736813</v>
      </c>
      <c r="M22" s="207">
        <f t="shared" si="7"/>
        <v>1.5869762205888153E-2</v>
      </c>
      <c r="N22" s="208">
        <f t="shared" si="8"/>
        <v>0.46028160494270115</v>
      </c>
      <c r="O22" s="207">
        <f t="shared" si="9"/>
        <v>0</v>
      </c>
      <c r="P22" s="207">
        <f t="shared" si="10"/>
        <v>0</v>
      </c>
      <c r="Q22" s="207">
        <v>0</v>
      </c>
      <c r="R22" s="208">
        <f t="shared" si="11"/>
        <v>0.46028160494270115</v>
      </c>
    </row>
    <row r="23" spans="1:18" x14ac:dyDescent="0.2">
      <c r="A23" s="125">
        <v>4</v>
      </c>
      <c r="B23" s="199">
        <f t="shared" si="4"/>
        <v>44287</v>
      </c>
      <c r="C23" s="200">
        <v>44321</v>
      </c>
      <c r="D23" s="200">
        <v>44340</v>
      </c>
      <c r="E23" s="209" t="s">
        <v>21</v>
      </c>
      <c r="F23" s="162">
        <v>9</v>
      </c>
      <c r="G23" s="202">
        <v>2146</v>
      </c>
      <c r="H23" s="203">
        <f t="shared" si="5"/>
        <v>3.0958330474702616E-4</v>
      </c>
      <c r="I23" s="203">
        <f t="shared" si="1"/>
        <v>5.1131360104153957E-4</v>
      </c>
      <c r="J23" s="204">
        <f t="shared" si="2"/>
        <v>1.0972789878351439</v>
      </c>
      <c r="K23" s="205">
        <f t="shared" si="6"/>
        <v>0.6643657719871181</v>
      </c>
      <c r="L23" s="206">
        <f t="shared" si="3"/>
        <v>0.43291321584802578</v>
      </c>
      <c r="M23" s="207">
        <f t="shared" si="7"/>
        <v>1.5459151018536529E-2</v>
      </c>
      <c r="N23" s="208">
        <f t="shared" si="8"/>
        <v>0.44837236686656229</v>
      </c>
      <c r="O23" s="207">
        <f t="shared" si="9"/>
        <v>0</v>
      </c>
      <c r="P23" s="207">
        <f t="shared" si="10"/>
        <v>0</v>
      </c>
      <c r="Q23" s="207">
        <v>0</v>
      </c>
      <c r="R23" s="208">
        <f t="shared" si="11"/>
        <v>0.44837236686656229</v>
      </c>
    </row>
    <row r="24" spans="1:18" ht="12" customHeight="1" x14ac:dyDescent="0.2">
      <c r="A24" s="162">
        <v>5</v>
      </c>
      <c r="B24" s="199">
        <f t="shared" si="4"/>
        <v>44317</v>
      </c>
      <c r="C24" s="200">
        <v>44350</v>
      </c>
      <c r="D24" s="200">
        <v>44371</v>
      </c>
      <c r="E24" s="54" t="s">
        <v>21</v>
      </c>
      <c r="F24" s="162">
        <v>9</v>
      </c>
      <c r="G24" s="202">
        <v>2961</v>
      </c>
      <c r="H24" s="203">
        <f t="shared" si="5"/>
        <v>3.0958330474702616E-4</v>
      </c>
      <c r="I24" s="203">
        <f t="shared" si="1"/>
        <v>5.1131360104153957E-4</v>
      </c>
      <c r="J24" s="204">
        <f t="shared" si="2"/>
        <v>1.5139995726839988</v>
      </c>
      <c r="K24" s="205">
        <f t="shared" si="6"/>
        <v>0.91667616535594443</v>
      </c>
      <c r="L24" s="206">
        <f t="shared" si="3"/>
        <v>0.59732340732805433</v>
      </c>
      <c r="M24" s="207">
        <f t="shared" si="7"/>
        <v>2.1330170627160607E-2</v>
      </c>
      <c r="N24" s="208">
        <f t="shared" si="8"/>
        <v>0.61865357795521492</v>
      </c>
      <c r="O24" s="207">
        <f t="shared" si="9"/>
        <v>0</v>
      </c>
      <c r="P24" s="207">
        <f t="shared" si="10"/>
        <v>0</v>
      </c>
      <c r="Q24" s="207">
        <v>0</v>
      </c>
      <c r="R24" s="208">
        <f t="shared" si="11"/>
        <v>0.61865357795521492</v>
      </c>
    </row>
    <row r="25" spans="1:18" x14ac:dyDescent="0.2">
      <c r="A25" s="162">
        <v>6</v>
      </c>
      <c r="B25" s="199">
        <f t="shared" si="4"/>
        <v>44348</v>
      </c>
      <c r="C25" s="200">
        <v>44383</v>
      </c>
      <c r="D25" s="200">
        <v>44401</v>
      </c>
      <c r="E25" s="54" t="s">
        <v>21</v>
      </c>
      <c r="F25" s="162">
        <v>9</v>
      </c>
      <c r="G25" s="202">
        <v>3827</v>
      </c>
      <c r="H25" s="203">
        <f t="shared" si="5"/>
        <v>3.0958330474702616E-4</v>
      </c>
      <c r="I25" s="203">
        <f t="shared" si="1"/>
        <v>5.1131360104153957E-4</v>
      </c>
      <c r="J25" s="204">
        <f t="shared" si="2"/>
        <v>1.9567971511859719</v>
      </c>
      <c r="K25" s="205">
        <f t="shared" si="6"/>
        <v>1.1847753072668692</v>
      </c>
      <c r="L25" s="210">
        <f t="shared" si="3"/>
        <v>0.77202184391910267</v>
      </c>
      <c r="M25" s="207">
        <f t="shared" si="7"/>
        <v>2.7568579192888767E-2</v>
      </c>
      <c r="N25" s="208">
        <f t="shared" si="8"/>
        <v>0.79959042311199147</v>
      </c>
      <c r="O25" s="207">
        <f t="shared" si="9"/>
        <v>0</v>
      </c>
      <c r="P25" s="207">
        <f t="shared" si="10"/>
        <v>0</v>
      </c>
      <c r="Q25" s="207">
        <v>0</v>
      </c>
      <c r="R25" s="208">
        <f t="shared" si="11"/>
        <v>0.79959042311199147</v>
      </c>
    </row>
    <row r="26" spans="1:18" x14ac:dyDescent="0.2">
      <c r="A26" s="125">
        <v>7</v>
      </c>
      <c r="B26" s="199">
        <f t="shared" si="4"/>
        <v>44378</v>
      </c>
      <c r="C26" s="200">
        <v>44412</v>
      </c>
      <c r="D26" s="200">
        <v>44432</v>
      </c>
      <c r="E26" s="54" t="s">
        <v>21</v>
      </c>
      <c r="F26" s="162">
        <v>9</v>
      </c>
      <c r="G26" s="202">
        <v>3938</v>
      </c>
      <c r="H26" s="203">
        <f t="shared" si="5"/>
        <v>3.0958330474702616E-4</v>
      </c>
      <c r="I26" s="203">
        <f t="shared" si="1"/>
        <v>5.1131360104153957E-4</v>
      </c>
      <c r="J26" s="204">
        <f t="shared" si="2"/>
        <v>2.013552960901583</v>
      </c>
      <c r="K26" s="211">
        <f t="shared" si="6"/>
        <v>1.219139054093789</v>
      </c>
      <c r="L26" s="210">
        <f t="shared" si="3"/>
        <v>0.794413906807794</v>
      </c>
      <c r="M26" s="207">
        <f t="shared" si="7"/>
        <v>2.8368190452468241E-2</v>
      </c>
      <c r="N26" s="208">
        <f t="shared" si="8"/>
        <v>0.82278209726026219</v>
      </c>
      <c r="O26" s="207">
        <f t="shared" si="9"/>
        <v>0</v>
      </c>
      <c r="P26" s="207">
        <f t="shared" si="10"/>
        <v>0</v>
      </c>
      <c r="Q26" s="207">
        <v>0</v>
      </c>
      <c r="R26" s="208">
        <f t="shared" si="11"/>
        <v>0.82278209726026219</v>
      </c>
    </row>
    <row r="27" spans="1:18" x14ac:dyDescent="0.2">
      <c r="A27" s="162">
        <v>8</v>
      </c>
      <c r="B27" s="199">
        <f t="shared" si="4"/>
        <v>44409</v>
      </c>
      <c r="C27" s="200">
        <v>44442</v>
      </c>
      <c r="D27" s="200">
        <v>44463</v>
      </c>
      <c r="E27" s="54" t="s">
        <v>21</v>
      </c>
      <c r="F27" s="162">
        <v>9</v>
      </c>
      <c r="G27" s="202">
        <v>4002</v>
      </c>
      <c r="H27" s="203">
        <f t="shared" si="5"/>
        <v>3.0958330474702616E-4</v>
      </c>
      <c r="I27" s="203">
        <f t="shared" si="1"/>
        <v>5.1131360104153957E-4</v>
      </c>
      <c r="J27" s="204">
        <f t="shared" si="2"/>
        <v>2.0462770313682412</v>
      </c>
      <c r="K27" s="211">
        <f t="shared" si="6"/>
        <v>1.2389523855975988</v>
      </c>
      <c r="L27" s="210">
        <f t="shared" si="3"/>
        <v>0.80732464577064245</v>
      </c>
      <c r="M27" s="207">
        <f t="shared" si="7"/>
        <v>2.8829227575108661E-2</v>
      </c>
      <c r="N27" s="208">
        <f t="shared" si="8"/>
        <v>0.83615387334575109</v>
      </c>
      <c r="O27" s="207">
        <f t="shared" si="9"/>
        <v>0</v>
      </c>
      <c r="P27" s="207">
        <f t="shared" si="10"/>
        <v>0</v>
      </c>
      <c r="Q27" s="207">
        <v>0</v>
      </c>
      <c r="R27" s="208">
        <f t="shared" si="11"/>
        <v>0.83615387334575109</v>
      </c>
    </row>
    <row r="28" spans="1:18" x14ac:dyDescent="0.2">
      <c r="A28" s="162">
        <v>9</v>
      </c>
      <c r="B28" s="199">
        <f t="shared" si="4"/>
        <v>44440</v>
      </c>
      <c r="C28" s="200">
        <v>44474</v>
      </c>
      <c r="D28" s="200">
        <v>44494</v>
      </c>
      <c r="E28" s="54" t="s">
        <v>21</v>
      </c>
      <c r="F28" s="162">
        <v>9</v>
      </c>
      <c r="G28" s="202">
        <v>4029</v>
      </c>
      <c r="H28" s="203">
        <f t="shared" si="5"/>
        <v>3.0958330474702616E-4</v>
      </c>
      <c r="I28" s="203">
        <f t="shared" si="1"/>
        <v>5.1131360104153957E-4</v>
      </c>
      <c r="J28" s="204">
        <f t="shared" si="2"/>
        <v>2.0600824985963628</v>
      </c>
      <c r="K28" s="211">
        <f t="shared" si="6"/>
        <v>1.2473111348257684</v>
      </c>
      <c r="L28" s="210">
        <f t="shared" si="3"/>
        <v>0.81277136377059445</v>
      </c>
      <c r="M28" s="207">
        <f t="shared" si="7"/>
        <v>2.9023727611222589E-2</v>
      </c>
      <c r="N28" s="208">
        <f t="shared" si="8"/>
        <v>0.84179509138181707</v>
      </c>
      <c r="O28" s="207">
        <f t="shared" si="9"/>
        <v>0</v>
      </c>
      <c r="P28" s="207">
        <f t="shared" si="10"/>
        <v>0</v>
      </c>
      <c r="Q28" s="207">
        <v>0</v>
      </c>
      <c r="R28" s="208">
        <f t="shared" si="11"/>
        <v>0.84179509138181707</v>
      </c>
    </row>
    <row r="29" spans="1:18" x14ac:dyDescent="0.2">
      <c r="A29" s="125">
        <v>10</v>
      </c>
      <c r="B29" s="199">
        <f t="shared" si="4"/>
        <v>44470</v>
      </c>
      <c r="C29" s="200">
        <v>44503</v>
      </c>
      <c r="D29" s="200">
        <v>44524</v>
      </c>
      <c r="E29" s="54" t="s">
        <v>21</v>
      </c>
      <c r="F29" s="162">
        <v>9</v>
      </c>
      <c r="G29" s="202">
        <v>3123</v>
      </c>
      <c r="H29" s="203">
        <f t="shared" si="5"/>
        <v>3.0958330474702616E-4</v>
      </c>
      <c r="I29" s="203">
        <f t="shared" si="1"/>
        <v>5.1131360104153957E-4</v>
      </c>
      <c r="J29" s="204">
        <f t="shared" si="2"/>
        <v>1.5968323760527281</v>
      </c>
      <c r="K29" s="211">
        <f t="shared" si="6"/>
        <v>0.96682866072496276</v>
      </c>
      <c r="L29" s="210">
        <f t="shared" si="3"/>
        <v>0.63000371532776533</v>
      </c>
      <c r="M29" s="207">
        <f t="shared" si="7"/>
        <v>2.2497170843844169E-2</v>
      </c>
      <c r="N29" s="208">
        <f t="shared" si="8"/>
        <v>0.65250088617160951</v>
      </c>
      <c r="O29" s="207">
        <f t="shared" si="9"/>
        <v>0</v>
      </c>
      <c r="P29" s="207">
        <f t="shared" si="10"/>
        <v>0</v>
      </c>
      <c r="Q29" s="207">
        <v>0</v>
      </c>
      <c r="R29" s="208">
        <f t="shared" si="11"/>
        <v>0.65250088617160951</v>
      </c>
    </row>
    <row r="30" spans="1:18" x14ac:dyDescent="0.2">
      <c r="A30" s="162">
        <v>11</v>
      </c>
      <c r="B30" s="199">
        <f t="shared" si="4"/>
        <v>44501</v>
      </c>
      <c r="C30" s="200">
        <v>44533</v>
      </c>
      <c r="D30" s="200">
        <v>44557</v>
      </c>
      <c r="E30" s="54" t="s">
        <v>21</v>
      </c>
      <c r="F30" s="162">
        <v>9</v>
      </c>
      <c r="G30" s="202">
        <v>2263</v>
      </c>
      <c r="H30" s="203">
        <f t="shared" si="5"/>
        <v>3.0958330474702616E-4</v>
      </c>
      <c r="I30" s="203">
        <f t="shared" si="1"/>
        <v>5.1131360104153957E-4</v>
      </c>
      <c r="J30" s="204">
        <f t="shared" si="2"/>
        <v>1.157102679157004</v>
      </c>
      <c r="K30" s="211">
        <f t="shared" si="6"/>
        <v>0.70058701864252027</v>
      </c>
      <c r="L30" s="210">
        <f t="shared" si="3"/>
        <v>0.45651566051448378</v>
      </c>
      <c r="M30" s="207">
        <f t="shared" si="7"/>
        <v>1.6301984508363544E-2</v>
      </c>
      <c r="N30" s="208">
        <f t="shared" si="8"/>
        <v>0.47281764502284734</v>
      </c>
      <c r="O30" s="207">
        <f t="shared" si="9"/>
        <v>0</v>
      </c>
      <c r="P30" s="207">
        <f t="shared" si="10"/>
        <v>0</v>
      </c>
      <c r="Q30" s="207">
        <v>0</v>
      </c>
      <c r="R30" s="208">
        <f t="shared" si="11"/>
        <v>0.47281764502284734</v>
      </c>
    </row>
    <row r="31" spans="1:18" x14ac:dyDescent="0.2">
      <c r="A31" s="162">
        <v>12</v>
      </c>
      <c r="B31" s="199">
        <f t="shared" si="4"/>
        <v>44531</v>
      </c>
      <c r="C31" s="212">
        <v>44566</v>
      </c>
      <c r="D31" s="213">
        <v>44585</v>
      </c>
      <c r="E31" s="54" t="s">
        <v>21</v>
      </c>
      <c r="F31" s="162">
        <v>9</v>
      </c>
      <c r="G31" s="202">
        <v>2379</v>
      </c>
      <c r="H31" s="214">
        <f t="shared" si="5"/>
        <v>3.0958330474702616E-4</v>
      </c>
      <c r="I31" s="214">
        <f t="shared" si="1"/>
        <v>5.1131360104153957E-4</v>
      </c>
      <c r="J31" s="215">
        <f t="shared" si="2"/>
        <v>1.2164150568778227</v>
      </c>
      <c r="K31" s="216">
        <f t="shared" si="6"/>
        <v>0.73649868199317525</v>
      </c>
      <c r="L31" s="217">
        <f t="shared" si="3"/>
        <v>0.47991637488464745</v>
      </c>
      <c r="M31" s="207">
        <f t="shared" si="7"/>
        <v>1.7137614293149302E-2</v>
      </c>
      <c r="N31" s="208">
        <f t="shared" si="8"/>
        <v>0.49705398917779675</v>
      </c>
      <c r="O31" s="207">
        <f t="shared" si="9"/>
        <v>0</v>
      </c>
      <c r="P31" s="207">
        <f t="shared" si="10"/>
        <v>0</v>
      </c>
      <c r="Q31" s="207">
        <v>0</v>
      </c>
      <c r="R31" s="208">
        <f t="shared" si="11"/>
        <v>0.49705398917779675</v>
      </c>
    </row>
    <row r="32" spans="1:18" x14ac:dyDescent="0.2">
      <c r="A32" s="125">
        <v>1</v>
      </c>
      <c r="B32" s="218">
        <f t="shared" si="4"/>
        <v>44197</v>
      </c>
      <c r="C32" s="219">
        <f t="shared" ref="C32:D43" si="12">+C20</f>
        <v>44230</v>
      </c>
      <c r="D32" s="219">
        <f t="shared" si="12"/>
        <v>44251</v>
      </c>
      <c r="E32" s="220" t="s">
        <v>22</v>
      </c>
      <c r="F32" s="221">
        <v>9</v>
      </c>
      <c r="G32" s="202">
        <v>2771</v>
      </c>
      <c r="H32" s="203">
        <f>+$K$3</f>
        <v>3.0958330474702616E-4</v>
      </c>
      <c r="I32" s="203">
        <f t="shared" si="1"/>
        <v>5.1131360104153957E-4</v>
      </c>
      <c r="J32" s="204">
        <f t="shared" si="2"/>
        <v>1.4168499884861061</v>
      </c>
      <c r="K32" s="205">
        <f t="shared" si="6"/>
        <v>0.85785533745400955</v>
      </c>
      <c r="L32" s="206">
        <f t="shared" si="3"/>
        <v>0.55899465103209656</v>
      </c>
      <c r="M32" s="207">
        <f t="shared" si="7"/>
        <v>1.9961466669321866E-2</v>
      </c>
      <c r="N32" s="208">
        <f t="shared" si="8"/>
        <v>0.57895611770141842</v>
      </c>
      <c r="O32" s="207">
        <f t="shared" si="9"/>
        <v>0</v>
      </c>
      <c r="P32" s="207">
        <f t="shared" si="10"/>
        <v>0</v>
      </c>
      <c r="Q32" s="207">
        <v>0</v>
      </c>
      <c r="R32" s="208">
        <f t="shared" si="11"/>
        <v>0.57895611770141842</v>
      </c>
    </row>
    <row r="33" spans="1:18" x14ac:dyDescent="0.2">
      <c r="A33" s="162">
        <v>2</v>
      </c>
      <c r="B33" s="199">
        <f t="shared" si="4"/>
        <v>44228</v>
      </c>
      <c r="C33" s="222">
        <f t="shared" si="12"/>
        <v>44258</v>
      </c>
      <c r="D33" s="222">
        <f t="shared" si="12"/>
        <v>44279</v>
      </c>
      <c r="E33" s="209" t="s">
        <v>22</v>
      </c>
      <c r="F33" s="162">
        <v>9</v>
      </c>
      <c r="G33" s="202">
        <v>3136</v>
      </c>
      <c r="H33" s="203">
        <f t="shared" si="5"/>
        <v>3.0958330474702616E-4</v>
      </c>
      <c r="I33" s="203">
        <f t="shared" si="1"/>
        <v>5.1131360104153957E-4</v>
      </c>
      <c r="J33" s="204">
        <f t="shared" si="2"/>
        <v>1.6034794528662681</v>
      </c>
      <c r="K33" s="205">
        <f t="shared" si="6"/>
        <v>0.97085324368667403</v>
      </c>
      <c r="L33" s="206">
        <f t="shared" si="3"/>
        <v>0.63262620917959411</v>
      </c>
      <c r="M33" s="207">
        <f t="shared" si="7"/>
        <v>2.2590819009380501E-2</v>
      </c>
      <c r="N33" s="208">
        <f t="shared" si="8"/>
        <v>0.65521702818897465</v>
      </c>
      <c r="O33" s="207">
        <f t="shared" si="9"/>
        <v>0</v>
      </c>
      <c r="P33" s="207">
        <f t="shared" si="10"/>
        <v>0</v>
      </c>
      <c r="Q33" s="207">
        <v>0</v>
      </c>
      <c r="R33" s="208">
        <f t="shared" si="11"/>
        <v>0.65521702818897465</v>
      </c>
    </row>
    <row r="34" spans="1:18" x14ac:dyDescent="0.2">
      <c r="A34" s="162">
        <v>3</v>
      </c>
      <c r="B34" s="199">
        <f t="shared" si="4"/>
        <v>44256</v>
      </c>
      <c r="C34" s="222">
        <f t="shared" si="12"/>
        <v>44291</v>
      </c>
      <c r="D34" s="222">
        <f t="shared" si="12"/>
        <v>44312</v>
      </c>
      <c r="E34" s="209" t="s">
        <v>22</v>
      </c>
      <c r="F34" s="162">
        <v>9</v>
      </c>
      <c r="G34" s="202">
        <v>2339</v>
      </c>
      <c r="H34" s="203">
        <f t="shared" si="5"/>
        <v>3.0958330474702616E-4</v>
      </c>
      <c r="I34" s="203">
        <f t="shared" si="1"/>
        <v>5.1131360104153957E-4</v>
      </c>
      <c r="J34" s="204">
        <f t="shared" si="2"/>
        <v>1.1959625128361611</v>
      </c>
      <c r="K34" s="205">
        <f t="shared" ref="K34:K93" si="13">+$G34*H34</f>
        <v>0.72411534980329417</v>
      </c>
      <c r="L34" s="206">
        <f t="shared" si="3"/>
        <v>0.47184716303286689</v>
      </c>
      <c r="M34" s="207">
        <f t="shared" si="7"/>
        <v>1.6849466091499041E-2</v>
      </c>
      <c r="N34" s="208">
        <f t="shared" si="8"/>
        <v>0.48869662912436596</v>
      </c>
      <c r="O34" s="207">
        <f t="shared" si="9"/>
        <v>0</v>
      </c>
      <c r="P34" s="207">
        <f t="shared" si="10"/>
        <v>0</v>
      </c>
      <c r="Q34" s="207">
        <v>0</v>
      </c>
      <c r="R34" s="208">
        <f t="shared" si="11"/>
        <v>0.48869662912436596</v>
      </c>
    </row>
    <row r="35" spans="1:18" x14ac:dyDescent="0.2">
      <c r="A35" s="125">
        <v>4</v>
      </c>
      <c r="B35" s="199">
        <f t="shared" si="4"/>
        <v>44287</v>
      </c>
      <c r="C35" s="222">
        <f t="shared" si="12"/>
        <v>44321</v>
      </c>
      <c r="D35" s="222">
        <f t="shared" si="12"/>
        <v>44340</v>
      </c>
      <c r="E35" s="209" t="s">
        <v>22</v>
      </c>
      <c r="F35" s="162">
        <v>9</v>
      </c>
      <c r="G35" s="202">
        <v>2394</v>
      </c>
      <c r="H35" s="203">
        <f t="shared" si="5"/>
        <v>3.0958330474702616E-4</v>
      </c>
      <c r="I35" s="203">
        <f t="shared" si="1"/>
        <v>5.1131360104153957E-4</v>
      </c>
      <c r="J35" s="204">
        <f t="shared" si="2"/>
        <v>1.2240847608934458</v>
      </c>
      <c r="K35" s="205">
        <f t="shared" si="13"/>
        <v>0.74114243156438064</v>
      </c>
      <c r="L35" s="206">
        <f t="shared" ref="L35:L57" si="14">+J35-K35</f>
        <v>0.48294232932906511</v>
      </c>
      <c r="M35" s="207">
        <f t="shared" si="7"/>
        <v>1.7245669868768149E-2</v>
      </c>
      <c r="N35" s="208">
        <f t="shared" si="8"/>
        <v>0.5001879991978333</v>
      </c>
      <c r="O35" s="207">
        <f t="shared" si="9"/>
        <v>0</v>
      </c>
      <c r="P35" s="207">
        <f t="shared" si="10"/>
        <v>0</v>
      </c>
      <c r="Q35" s="207">
        <v>0</v>
      </c>
      <c r="R35" s="208">
        <f t="shared" si="11"/>
        <v>0.5001879991978333</v>
      </c>
    </row>
    <row r="36" spans="1:18" x14ac:dyDescent="0.2">
      <c r="A36" s="162">
        <v>5</v>
      </c>
      <c r="B36" s="199">
        <f t="shared" si="4"/>
        <v>44317</v>
      </c>
      <c r="C36" s="222">
        <f t="shared" si="12"/>
        <v>44350</v>
      </c>
      <c r="D36" s="222">
        <f t="shared" si="12"/>
        <v>44371</v>
      </c>
      <c r="E36" s="54" t="s">
        <v>22</v>
      </c>
      <c r="F36" s="162">
        <v>9</v>
      </c>
      <c r="G36" s="202">
        <v>2807</v>
      </c>
      <c r="H36" s="203">
        <f t="shared" si="5"/>
        <v>3.0958330474702616E-4</v>
      </c>
      <c r="I36" s="203">
        <f t="shared" si="1"/>
        <v>5.1131360104153957E-4</v>
      </c>
      <c r="J36" s="204">
        <f t="shared" si="2"/>
        <v>1.4352572781236015</v>
      </c>
      <c r="K36" s="205">
        <f t="shared" si="13"/>
        <v>0.86900033642490249</v>
      </c>
      <c r="L36" s="206">
        <f t="shared" si="14"/>
        <v>0.566256941698699</v>
      </c>
      <c r="M36" s="207">
        <f t="shared" si="7"/>
        <v>2.0220800050807099E-2</v>
      </c>
      <c r="N36" s="208">
        <f t="shared" si="8"/>
        <v>0.58647774174950607</v>
      </c>
      <c r="O36" s="207">
        <f t="shared" si="9"/>
        <v>0</v>
      </c>
      <c r="P36" s="207">
        <f t="shared" si="10"/>
        <v>0</v>
      </c>
      <c r="Q36" s="207">
        <v>0</v>
      </c>
      <c r="R36" s="208">
        <f t="shared" si="11"/>
        <v>0.58647774174950607</v>
      </c>
    </row>
    <row r="37" spans="1:18" x14ac:dyDescent="0.2">
      <c r="A37" s="162">
        <v>6</v>
      </c>
      <c r="B37" s="199">
        <f t="shared" si="4"/>
        <v>44348</v>
      </c>
      <c r="C37" s="222">
        <f t="shared" si="12"/>
        <v>44383</v>
      </c>
      <c r="D37" s="222">
        <f t="shared" si="12"/>
        <v>44401</v>
      </c>
      <c r="E37" s="54" t="s">
        <v>22</v>
      </c>
      <c r="F37" s="162">
        <v>9</v>
      </c>
      <c r="G37" s="202">
        <v>3345</v>
      </c>
      <c r="H37" s="203">
        <f t="shared" si="5"/>
        <v>3.0958330474702616E-4</v>
      </c>
      <c r="I37" s="203">
        <f t="shared" si="1"/>
        <v>5.1131360104153957E-4</v>
      </c>
      <c r="J37" s="204">
        <f t="shared" si="2"/>
        <v>1.7103439954839499</v>
      </c>
      <c r="K37" s="205">
        <f t="shared" si="13"/>
        <v>1.0355561543788026</v>
      </c>
      <c r="L37" s="210">
        <f t="shared" si="14"/>
        <v>0.67478784110514733</v>
      </c>
      <c r="M37" s="207">
        <f t="shared" si="7"/>
        <v>2.4096393363003118E-2</v>
      </c>
      <c r="N37" s="208">
        <f t="shared" si="8"/>
        <v>0.6988842344681504</v>
      </c>
      <c r="O37" s="207">
        <f t="shared" si="9"/>
        <v>0</v>
      </c>
      <c r="P37" s="207">
        <f t="shared" si="10"/>
        <v>0</v>
      </c>
      <c r="Q37" s="207">
        <v>0</v>
      </c>
      <c r="R37" s="208">
        <f t="shared" si="11"/>
        <v>0.6988842344681504</v>
      </c>
    </row>
    <row r="38" spans="1:18" x14ac:dyDescent="0.2">
      <c r="A38" s="125">
        <v>7</v>
      </c>
      <c r="B38" s="199">
        <f t="shared" si="4"/>
        <v>44378</v>
      </c>
      <c r="C38" s="222">
        <f t="shared" si="12"/>
        <v>44412</v>
      </c>
      <c r="D38" s="222">
        <f t="shared" si="12"/>
        <v>44432</v>
      </c>
      <c r="E38" s="54" t="s">
        <v>22</v>
      </c>
      <c r="F38" s="162">
        <v>9</v>
      </c>
      <c r="G38" s="202">
        <v>3525</v>
      </c>
      <c r="H38" s="203">
        <f t="shared" si="5"/>
        <v>3.0958330474702616E-4</v>
      </c>
      <c r="I38" s="203">
        <f t="shared" si="1"/>
        <v>5.1131360104153957E-4</v>
      </c>
      <c r="J38" s="204">
        <f t="shared" si="2"/>
        <v>1.802380443671427</v>
      </c>
      <c r="K38" s="211">
        <f t="shared" si="13"/>
        <v>1.0912811492332672</v>
      </c>
      <c r="L38" s="210">
        <f t="shared" si="14"/>
        <v>0.71109929443815978</v>
      </c>
      <c r="M38" s="207">
        <f t="shared" si="7"/>
        <v>2.5393060270429292E-2</v>
      </c>
      <c r="N38" s="208">
        <f t="shared" si="8"/>
        <v>0.73649235470858909</v>
      </c>
      <c r="O38" s="207">
        <f t="shared" si="9"/>
        <v>0</v>
      </c>
      <c r="P38" s="207">
        <f t="shared" si="10"/>
        <v>0</v>
      </c>
      <c r="Q38" s="207">
        <v>0</v>
      </c>
      <c r="R38" s="208">
        <f t="shared" si="11"/>
        <v>0.73649235470858909</v>
      </c>
    </row>
    <row r="39" spans="1:18" x14ac:dyDescent="0.2">
      <c r="A39" s="162">
        <v>8</v>
      </c>
      <c r="B39" s="199">
        <f t="shared" si="4"/>
        <v>44409</v>
      </c>
      <c r="C39" s="222">
        <f t="shared" si="12"/>
        <v>44442</v>
      </c>
      <c r="D39" s="222">
        <f t="shared" si="12"/>
        <v>44463</v>
      </c>
      <c r="E39" s="54" t="s">
        <v>22</v>
      </c>
      <c r="F39" s="162">
        <v>9</v>
      </c>
      <c r="G39" s="202">
        <v>3514</v>
      </c>
      <c r="H39" s="203">
        <f t="shared" si="5"/>
        <v>3.0958330474702616E-4</v>
      </c>
      <c r="I39" s="203">
        <f t="shared" si="1"/>
        <v>5.1131360104153957E-4</v>
      </c>
      <c r="J39" s="204">
        <f t="shared" si="2"/>
        <v>1.79675599405997</v>
      </c>
      <c r="K39" s="211">
        <f t="shared" si="13"/>
        <v>1.08787573288105</v>
      </c>
      <c r="L39" s="210">
        <f t="shared" si="14"/>
        <v>0.70888026117892</v>
      </c>
      <c r="M39" s="207">
        <f t="shared" si="7"/>
        <v>2.531381951497547E-2</v>
      </c>
      <c r="N39" s="208">
        <f t="shared" si="8"/>
        <v>0.73419408069389547</v>
      </c>
      <c r="O39" s="207">
        <f t="shared" si="9"/>
        <v>0</v>
      </c>
      <c r="P39" s="207">
        <f t="shared" si="10"/>
        <v>0</v>
      </c>
      <c r="Q39" s="207">
        <v>0</v>
      </c>
      <c r="R39" s="208">
        <f t="shared" si="11"/>
        <v>0.73419408069389547</v>
      </c>
    </row>
    <row r="40" spans="1:18" x14ac:dyDescent="0.2">
      <c r="A40" s="162">
        <v>9</v>
      </c>
      <c r="B40" s="199">
        <f t="shared" si="4"/>
        <v>44440</v>
      </c>
      <c r="C40" s="222">
        <f t="shared" si="12"/>
        <v>44474</v>
      </c>
      <c r="D40" s="222">
        <f t="shared" si="12"/>
        <v>44494</v>
      </c>
      <c r="E40" s="54" t="s">
        <v>22</v>
      </c>
      <c r="F40" s="162">
        <v>9</v>
      </c>
      <c r="G40" s="202">
        <v>3486</v>
      </c>
      <c r="H40" s="203">
        <f t="shared" si="5"/>
        <v>3.0958330474702616E-4</v>
      </c>
      <c r="I40" s="203">
        <f t="shared" si="1"/>
        <v>5.1131360104153957E-4</v>
      </c>
      <c r="J40" s="204">
        <f t="shared" si="2"/>
        <v>1.7824392132308069</v>
      </c>
      <c r="K40" s="211">
        <f t="shared" si="13"/>
        <v>1.0792074003481331</v>
      </c>
      <c r="L40" s="210">
        <f t="shared" si="14"/>
        <v>0.70323181288267378</v>
      </c>
      <c r="M40" s="207">
        <f t="shared" si="7"/>
        <v>2.511211577382029E-2</v>
      </c>
      <c r="N40" s="208">
        <f t="shared" si="8"/>
        <v>0.72834392865649411</v>
      </c>
      <c r="O40" s="207">
        <f t="shared" si="9"/>
        <v>0</v>
      </c>
      <c r="P40" s="207">
        <f t="shared" si="10"/>
        <v>0</v>
      </c>
      <c r="Q40" s="207">
        <v>0</v>
      </c>
      <c r="R40" s="208">
        <f t="shared" si="11"/>
        <v>0.72834392865649411</v>
      </c>
    </row>
    <row r="41" spans="1:18" x14ac:dyDescent="0.2">
      <c r="A41" s="125">
        <v>10</v>
      </c>
      <c r="B41" s="199">
        <f t="shared" si="4"/>
        <v>44470</v>
      </c>
      <c r="C41" s="222">
        <f t="shared" si="12"/>
        <v>44503</v>
      </c>
      <c r="D41" s="222">
        <f t="shared" si="12"/>
        <v>44524</v>
      </c>
      <c r="E41" s="54" t="s">
        <v>22</v>
      </c>
      <c r="F41" s="162">
        <v>9</v>
      </c>
      <c r="G41" s="202">
        <v>2777</v>
      </c>
      <c r="H41" s="203">
        <f t="shared" si="5"/>
        <v>3.0958330474702616E-4</v>
      </c>
      <c r="I41" s="203">
        <f t="shared" si="1"/>
        <v>5.1131360104153957E-4</v>
      </c>
      <c r="J41" s="204">
        <f t="shared" si="2"/>
        <v>1.4199178700923554</v>
      </c>
      <c r="K41" s="211">
        <f t="shared" si="13"/>
        <v>0.8597128372824917</v>
      </c>
      <c r="L41" s="210">
        <f t="shared" si="14"/>
        <v>0.56020503280986367</v>
      </c>
      <c r="M41" s="207">
        <f t="shared" si="7"/>
        <v>2.0004688899569405E-2</v>
      </c>
      <c r="N41" s="208">
        <f t="shared" si="8"/>
        <v>0.58020972170943308</v>
      </c>
      <c r="O41" s="207">
        <f t="shared" si="9"/>
        <v>0</v>
      </c>
      <c r="P41" s="207">
        <f t="shared" si="10"/>
        <v>0</v>
      </c>
      <c r="Q41" s="207">
        <v>0</v>
      </c>
      <c r="R41" s="208">
        <f t="shared" si="11"/>
        <v>0.58020972170943308</v>
      </c>
    </row>
    <row r="42" spans="1:18" x14ac:dyDescent="0.2">
      <c r="A42" s="162">
        <v>11</v>
      </c>
      <c r="B42" s="199">
        <f t="shared" si="4"/>
        <v>44501</v>
      </c>
      <c r="C42" s="222">
        <f t="shared" si="12"/>
        <v>44533</v>
      </c>
      <c r="D42" s="222">
        <f t="shared" si="12"/>
        <v>44557</v>
      </c>
      <c r="E42" s="54" t="s">
        <v>22</v>
      </c>
      <c r="F42" s="162">
        <v>9</v>
      </c>
      <c r="G42" s="202">
        <v>2284</v>
      </c>
      <c r="H42" s="203">
        <f t="shared" si="5"/>
        <v>3.0958330474702616E-4</v>
      </c>
      <c r="I42" s="203">
        <f t="shared" si="1"/>
        <v>5.1131360104153957E-4</v>
      </c>
      <c r="J42" s="204">
        <f t="shared" si="2"/>
        <v>1.1678402647788764</v>
      </c>
      <c r="K42" s="211">
        <f t="shared" si="13"/>
        <v>0.70708826804220781</v>
      </c>
      <c r="L42" s="210">
        <f t="shared" si="14"/>
        <v>0.46075199673666856</v>
      </c>
      <c r="M42" s="207">
        <f t="shared" si="7"/>
        <v>1.645326231422993E-2</v>
      </c>
      <c r="N42" s="208">
        <f t="shared" si="8"/>
        <v>0.4772052590508985</v>
      </c>
      <c r="O42" s="207">
        <f t="shared" si="9"/>
        <v>0</v>
      </c>
      <c r="P42" s="207">
        <f t="shared" si="10"/>
        <v>0</v>
      </c>
      <c r="Q42" s="207">
        <v>0</v>
      </c>
      <c r="R42" s="208">
        <f t="shared" si="11"/>
        <v>0.4772052590508985</v>
      </c>
    </row>
    <row r="43" spans="1:18" x14ac:dyDescent="0.2">
      <c r="A43" s="162">
        <v>12</v>
      </c>
      <c r="B43" s="199">
        <f t="shared" si="4"/>
        <v>44531</v>
      </c>
      <c r="C43" s="222">
        <f t="shared" si="12"/>
        <v>44566</v>
      </c>
      <c r="D43" s="222">
        <f t="shared" si="12"/>
        <v>44585</v>
      </c>
      <c r="E43" s="54" t="s">
        <v>22</v>
      </c>
      <c r="F43" s="162">
        <v>9</v>
      </c>
      <c r="G43" s="202">
        <v>2425</v>
      </c>
      <c r="H43" s="214">
        <f t="shared" si="5"/>
        <v>3.0958330474702616E-4</v>
      </c>
      <c r="I43" s="214">
        <f t="shared" si="1"/>
        <v>5.1131360104153957E-4</v>
      </c>
      <c r="J43" s="215">
        <f t="shared" si="2"/>
        <v>1.2399354825257334</v>
      </c>
      <c r="K43" s="216">
        <f t="shared" si="13"/>
        <v>0.75073951401153849</v>
      </c>
      <c r="L43" s="217">
        <f t="shared" si="14"/>
        <v>0.48919596851419489</v>
      </c>
      <c r="M43" s="207">
        <f t="shared" si="7"/>
        <v>1.7468984725047102E-2</v>
      </c>
      <c r="N43" s="208">
        <f t="shared" si="8"/>
        <v>0.50666495323924199</v>
      </c>
      <c r="O43" s="207">
        <f t="shared" si="9"/>
        <v>0</v>
      </c>
      <c r="P43" s="207">
        <f t="shared" si="10"/>
        <v>0</v>
      </c>
      <c r="Q43" s="207">
        <v>0</v>
      </c>
      <c r="R43" s="208">
        <f t="shared" si="11"/>
        <v>0.50666495323924199</v>
      </c>
    </row>
    <row r="44" spans="1:18" x14ac:dyDescent="0.2">
      <c r="A44" s="125">
        <v>1</v>
      </c>
      <c r="B44" s="218">
        <f t="shared" ref="B44:B55" si="15">DATE($R$1,A44,1)</f>
        <v>44197</v>
      </c>
      <c r="C44" s="219">
        <f t="shared" ref="C44:D55" si="16">+C32</f>
        <v>44230</v>
      </c>
      <c r="D44" s="219">
        <f t="shared" si="16"/>
        <v>44251</v>
      </c>
      <c r="E44" s="220" t="s">
        <v>82</v>
      </c>
      <c r="F44" s="221">
        <v>9</v>
      </c>
      <c r="G44" s="202">
        <v>146</v>
      </c>
      <c r="H44" s="203">
        <f>+$K$3</f>
        <v>3.0958330474702616E-4</v>
      </c>
      <c r="I44" s="203">
        <f t="shared" si="1"/>
        <v>5.1131360104153957E-4</v>
      </c>
      <c r="J44" s="207">
        <f t="shared" ref="J44:J55" si="17">+$G44*I44</f>
        <v>7.465178575206477E-2</v>
      </c>
      <c r="K44" s="211">
        <f t="shared" ref="K44:K55" si="18">+$G44*H44</f>
        <v>4.5199162493065818E-2</v>
      </c>
      <c r="L44" s="210">
        <f t="shared" ref="L44:L55" si="19">+J44-K44</f>
        <v>2.9452623258998951E-2</v>
      </c>
      <c r="M44" s="207">
        <f t="shared" si="7"/>
        <v>1.0517409360234545E-3</v>
      </c>
      <c r="N44" s="208">
        <f t="shared" si="8"/>
        <v>3.0504364195022407E-2</v>
      </c>
      <c r="O44" s="207">
        <f t="shared" si="9"/>
        <v>0</v>
      </c>
      <c r="P44" s="207">
        <f t="shared" si="10"/>
        <v>0</v>
      </c>
      <c r="Q44" s="207">
        <v>0</v>
      </c>
      <c r="R44" s="208">
        <f t="shared" si="11"/>
        <v>3.0504364195022407E-2</v>
      </c>
    </row>
    <row r="45" spans="1:18" x14ac:dyDescent="0.2">
      <c r="A45" s="162">
        <v>2</v>
      </c>
      <c r="B45" s="199">
        <f t="shared" si="15"/>
        <v>44228</v>
      </c>
      <c r="C45" s="222">
        <f t="shared" si="16"/>
        <v>44258</v>
      </c>
      <c r="D45" s="222">
        <f t="shared" si="16"/>
        <v>44279</v>
      </c>
      <c r="E45" s="209" t="s">
        <v>82</v>
      </c>
      <c r="F45" s="162">
        <v>9</v>
      </c>
      <c r="G45" s="202">
        <v>212</v>
      </c>
      <c r="H45" s="203">
        <f t="shared" si="5"/>
        <v>3.0958330474702616E-4</v>
      </c>
      <c r="I45" s="203">
        <f t="shared" si="1"/>
        <v>5.1131360104153957E-4</v>
      </c>
      <c r="J45" s="207">
        <f t="shared" si="17"/>
        <v>0.10839848342080639</v>
      </c>
      <c r="K45" s="211">
        <f t="shared" si="18"/>
        <v>6.5631660606369546E-2</v>
      </c>
      <c r="L45" s="210">
        <f t="shared" si="19"/>
        <v>4.2766822814436847E-2</v>
      </c>
      <c r="M45" s="207">
        <f t="shared" si="7"/>
        <v>1.527185468746386E-3</v>
      </c>
      <c r="N45" s="208">
        <f t="shared" si="8"/>
        <v>4.4294008283183237E-2</v>
      </c>
      <c r="O45" s="207">
        <f t="shared" si="9"/>
        <v>0</v>
      </c>
      <c r="P45" s="207">
        <f t="shared" si="10"/>
        <v>0</v>
      </c>
      <c r="Q45" s="207">
        <v>0</v>
      </c>
      <c r="R45" s="208">
        <f t="shared" si="11"/>
        <v>4.4294008283183237E-2</v>
      </c>
    </row>
    <row r="46" spans="1:18" x14ac:dyDescent="0.2">
      <c r="A46" s="162">
        <v>3</v>
      </c>
      <c r="B46" s="199">
        <f t="shared" si="15"/>
        <v>44256</v>
      </c>
      <c r="C46" s="222">
        <f t="shared" si="16"/>
        <v>44291</v>
      </c>
      <c r="D46" s="222">
        <f t="shared" si="16"/>
        <v>44312</v>
      </c>
      <c r="E46" s="209" t="s">
        <v>82</v>
      </c>
      <c r="F46" s="162">
        <v>9</v>
      </c>
      <c r="G46" s="202">
        <v>125</v>
      </c>
      <c r="H46" s="203">
        <f t="shared" si="5"/>
        <v>3.0958330474702616E-4</v>
      </c>
      <c r="I46" s="203">
        <f t="shared" si="1"/>
        <v>5.1131360104153957E-4</v>
      </c>
      <c r="J46" s="207">
        <f t="shared" si="17"/>
        <v>6.3914200130192445E-2</v>
      </c>
      <c r="K46" s="211">
        <f t="shared" si="18"/>
        <v>3.8697913093378271E-2</v>
      </c>
      <c r="L46" s="210">
        <f t="shared" si="19"/>
        <v>2.5216287036814174E-2</v>
      </c>
      <c r="M46" s="207">
        <f t="shared" si="7"/>
        <v>9.0046313015706709E-4</v>
      </c>
      <c r="N46" s="208">
        <f t="shared" si="8"/>
        <v>2.611675016697124E-2</v>
      </c>
      <c r="O46" s="207">
        <f t="shared" si="9"/>
        <v>0</v>
      </c>
      <c r="P46" s="207">
        <f t="shared" si="10"/>
        <v>0</v>
      </c>
      <c r="Q46" s="207">
        <v>0</v>
      </c>
      <c r="R46" s="208">
        <f t="shared" si="11"/>
        <v>2.611675016697124E-2</v>
      </c>
    </row>
    <row r="47" spans="1:18" x14ac:dyDescent="0.2">
      <c r="A47" s="125">
        <v>4</v>
      </c>
      <c r="B47" s="199">
        <f t="shared" si="15"/>
        <v>44287</v>
      </c>
      <c r="C47" s="222">
        <f t="shared" si="16"/>
        <v>44321</v>
      </c>
      <c r="D47" s="222">
        <f t="shared" si="16"/>
        <v>44340</v>
      </c>
      <c r="E47" s="209" t="s">
        <v>82</v>
      </c>
      <c r="F47" s="162">
        <v>9</v>
      </c>
      <c r="G47" s="202">
        <v>92</v>
      </c>
      <c r="H47" s="203">
        <f t="shared" si="5"/>
        <v>3.0958330474702616E-4</v>
      </c>
      <c r="I47" s="203">
        <f t="shared" si="1"/>
        <v>5.1131360104153957E-4</v>
      </c>
      <c r="J47" s="207">
        <f t="shared" si="17"/>
        <v>4.704085129582164E-2</v>
      </c>
      <c r="K47" s="211">
        <f t="shared" si="18"/>
        <v>2.8481664036726407E-2</v>
      </c>
      <c r="L47" s="210">
        <f t="shared" si="19"/>
        <v>1.8559187259095233E-2</v>
      </c>
      <c r="M47" s="207">
        <f t="shared" si="7"/>
        <v>6.6274086379560144E-4</v>
      </c>
      <c r="N47" s="208">
        <f t="shared" si="8"/>
        <v>1.9221928122890836E-2</v>
      </c>
      <c r="O47" s="207">
        <f t="shared" si="9"/>
        <v>0</v>
      </c>
      <c r="P47" s="207">
        <f t="shared" si="10"/>
        <v>0</v>
      </c>
      <c r="Q47" s="207">
        <v>0</v>
      </c>
      <c r="R47" s="208">
        <f t="shared" si="11"/>
        <v>1.9221928122890836E-2</v>
      </c>
    </row>
    <row r="48" spans="1:18" x14ac:dyDescent="0.2">
      <c r="A48" s="162">
        <v>5</v>
      </c>
      <c r="B48" s="199">
        <f t="shared" si="15"/>
        <v>44317</v>
      </c>
      <c r="C48" s="222">
        <f t="shared" si="16"/>
        <v>44350</v>
      </c>
      <c r="D48" s="222">
        <f t="shared" si="16"/>
        <v>44371</v>
      </c>
      <c r="E48" s="209" t="s">
        <v>82</v>
      </c>
      <c r="F48" s="162">
        <v>9</v>
      </c>
      <c r="G48" s="202">
        <v>102</v>
      </c>
      <c r="H48" s="203">
        <f t="shared" si="5"/>
        <v>3.0958330474702616E-4</v>
      </c>
      <c r="I48" s="203">
        <f t="shared" si="1"/>
        <v>5.1131360104153957E-4</v>
      </c>
      <c r="J48" s="207">
        <f t="shared" si="17"/>
        <v>5.2153987306237035E-2</v>
      </c>
      <c r="K48" s="211">
        <f t="shared" si="18"/>
        <v>3.1577497084196667E-2</v>
      </c>
      <c r="L48" s="210">
        <f t="shared" si="19"/>
        <v>2.0576490222040368E-2</v>
      </c>
      <c r="M48" s="207">
        <f t="shared" si="7"/>
        <v>7.3477791420816689E-4</v>
      </c>
      <c r="N48" s="208">
        <f t="shared" si="8"/>
        <v>2.1311268136248535E-2</v>
      </c>
      <c r="O48" s="207">
        <f t="shared" si="9"/>
        <v>0</v>
      </c>
      <c r="P48" s="207">
        <f t="shared" si="10"/>
        <v>0</v>
      </c>
      <c r="Q48" s="207">
        <v>0</v>
      </c>
      <c r="R48" s="208">
        <f t="shared" si="11"/>
        <v>2.1311268136248535E-2</v>
      </c>
    </row>
    <row r="49" spans="1:18" x14ac:dyDescent="0.2">
      <c r="A49" s="162">
        <v>6</v>
      </c>
      <c r="B49" s="199">
        <f t="shared" si="15"/>
        <v>44348</v>
      </c>
      <c r="C49" s="222">
        <f t="shared" si="16"/>
        <v>44383</v>
      </c>
      <c r="D49" s="222">
        <f t="shared" si="16"/>
        <v>44401</v>
      </c>
      <c r="E49" s="209" t="s">
        <v>82</v>
      </c>
      <c r="F49" s="162">
        <v>9</v>
      </c>
      <c r="G49" s="202">
        <v>124</v>
      </c>
      <c r="H49" s="203">
        <f t="shared" si="5"/>
        <v>3.0958330474702616E-4</v>
      </c>
      <c r="I49" s="203">
        <f t="shared" si="1"/>
        <v>5.1131360104153957E-4</v>
      </c>
      <c r="J49" s="207">
        <f t="shared" si="17"/>
        <v>6.3402886529150909E-2</v>
      </c>
      <c r="K49" s="211">
        <f t="shared" si="18"/>
        <v>3.8388329788631242E-2</v>
      </c>
      <c r="L49" s="210">
        <f t="shared" si="19"/>
        <v>2.5014556740519667E-2</v>
      </c>
      <c r="M49" s="207">
        <f t="shared" si="7"/>
        <v>8.9325942511581059E-4</v>
      </c>
      <c r="N49" s="208">
        <f t="shared" si="8"/>
        <v>2.5907816165635478E-2</v>
      </c>
      <c r="O49" s="207">
        <f t="shared" si="9"/>
        <v>0</v>
      </c>
      <c r="P49" s="207">
        <f t="shared" si="10"/>
        <v>0</v>
      </c>
      <c r="Q49" s="207">
        <v>0</v>
      </c>
      <c r="R49" s="208">
        <f t="shared" si="11"/>
        <v>2.5907816165635478E-2</v>
      </c>
    </row>
    <row r="50" spans="1:18" x14ac:dyDescent="0.2">
      <c r="A50" s="125">
        <v>7</v>
      </c>
      <c r="B50" s="199">
        <f t="shared" si="15"/>
        <v>44378</v>
      </c>
      <c r="C50" s="222">
        <f t="shared" si="16"/>
        <v>44412</v>
      </c>
      <c r="D50" s="222">
        <f t="shared" si="16"/>
        <v>44432</v>
      </c>
      <c r="E50" s="209" t="s">
        <v>82</v>
      </c>
      <c r="F50" s="162">
        <v>9</v>
      </c>
      <c r="G50" s="202">
        <v>138</v>
      </c>
      <c r="H50" s="203">
        <f t="shared" si="5"/>
        <v>3.0958330474702616E-4</v>
      </c>
      <c r="I50" s="203">
        <f t="shared" si="1"/>
        <v>5.1131360104153957E-4</v>
      </c>
      <c r="J50" s="207">
        <f t="shared" si="17"/>
        <v>7.0561276943732459E-2</v>
      </c>
      <c r="K50" s="211">
        <f t="shared" si="18"/>
        <v>4.2722496055089612E-2</v>
      </c>
      <c r="L50" s="210">
        <f t="shared" si="19"/>
        <v>2.7838780888642847E-2</v>
      </c>
      <c r="M50" s="207">
        <f t="shared" si="7"/>
        <v>9.9411129569340227E-4</v>
      </c>
      <c r="N50" s="208">
        <f t="shared" si="8"/>
        <v>2.883289218433625E-2</v>
      </c>
      <c r="O50" s="207">
        <f t="shared" si="9"/>
        <v>0</v>
      </c>
      <c r="P50" s="207">
        <f t="shared" si="10"/>
        <v>0</v>
      </c>
      <c r="Q50" s="207">
        <v>0</v>
      </c>
      <c r="R50" s="208">
        <f t="shared" si="11"/>
        <v>2.883289218433625E-2</v>
      </c>
    </row>
    <row r="51" spans="1:18" x14ac:dyDescent="0.2">
      <c r="A51" s="162">
        <v>8</v>
      </c>
      <c r="B51" s="199">
        <f t="shared" si="15"/>
        <v>44409</v>
      </c>
      <c r="C51" s="222">
        <f t="shared" si="16"/>
        <v>44442</v>
      </c>
      <c r="D51" s="222">
        <f t="shared" si="16"/>
        <v>44463</v>
      </c>
      <c r="E51" s="209" t="s">
        <v>82</v>
      </c>
      <c r="F51" s="162">
        <v>9</v>
      </c>
      <c r="G51" s="202">
        <v>140</v>
      </c>
      <c r="H51" s="203">
        <f t="shared" si="5"/>
        <v>3.0958330474702616E-4</v>
      </c>
      <c r="I51" s="203">
        <f t="shared" si="1"/>
        <v>5.1131360104153957E-4</v>
      </c>
      <c r="J51" s="207">
        <f t="shared" si="17"/>
        <v>7.1583904145815544E-2</v>
      </c>
      <c r="K51" s="211">
        <f t="shared" si="18"/>
        <v>4.3341662664583662E-2</v>
      </c>
      <c r="L51" s="210">
        <f t="shared" si="19"/>
        <v>2.8242241481231882E-2</v>
      </c>
      <c r="M51" s="207">
        <f t="shared" si="7"/>
        <v>1.0085187057759153E-3</v>
      </c>
      <c r="N51" s="208">
        <f t="shared" si="8"/>
        <v>2.9250760187007799E-2</v>
      </c>
      <c r="O51" s="207">
        <f t="shared" si="9"/>
        <v>0</v>
      </c>
      <c r="P51" s="207">
        <f t="shared" si="10"/>
        <v>0</v>
      </c>
      <c r="Q51" s="207">
        <v>0</v>
      </c>
      <c r="R51" s="208">
        <f t="shared" si="11"/>
        <v>2.9250760187007799E-2</v>
      </c>
    </row>
    <row r="52" spans="1:18" x14ac:dyDescent="0.2">
      <c r="A52" s="162">
        <v>9</v>
      </c>
      <c r="B52" s="199">
        <f t="shared" si="15"/>
        <v>44440</v>
      </c>
      <c r="C52" s="222">
        <f t="shared" si="16"/>
        <v>44474</v>
      </c>
      <c r="D52" s="222">
        <f t="shared" si="16"/>
        <v>44494</v>
      </c>
      <c r="E52" s="209" t="s">
        <v>82</v>
      </c>
      <c r="F52" s="162">
        <v>9</v>
      </c>
      <c r="G52" s="202">
        <v>140</v>
      </c>
      <c r="H52" s="203">
        <f t="shared" si="5"/>
        <v>3.0958330474702616E-4</v>
      </c>
      <c r="I52" s="203">
        <f t="shared" si="1"/>
        <v>5.1131360104153957E-4</v>
      </c>
      <c r="J52" s="207">
        <f t="shared" si="17"/>
        <v>7.1583904145815544E-2</v>
      </c>
      <c r="K52" s="211">
        <f t="shared" si="18"/>
        <v>4.3341662664583662E-2</v>
      </c>
      <c r="L52" s="210">
        <f t="shared" si="19"/>
        <v>2.8242241481231882E-2</v>
      </c>
      <c r="M52" s="207">
        <f t="shared" si="7"/>
        <v>1.0085187057759153E-3</v>
      </c>
      <c r="N52" s="208">
        <f t="shared" si="8"/>
        <v>2.9250760187007799E-2</v>
      </c>
      <c r="O52" s="207">
        <f t="shared" si="9"/>
        <v>0</v>
      </c>
      <c r="P52" s="207">
        <f t="shared" si="10"/>
        <v>0</v>
      </c>
      <c r="Q52" s="207">
        <v>0</v>
      </c>
      <c r="R52" s="208">
        <f t="shared" si="11"/>
        <v>2.9250760187007799E-2</v>
      </c>
    </row>
    <row r="53" spans="1:18" x14ac:dyDescent="0.2">
      <c r="A53" s="125">
        <v>10</v>
      </c>
      <c r="B53" s="199">
        <f t="shared" si="15"/>
        <v>44470</v>
      </c>
      <c r="C53" s="222">
        <f t="shared" si="16"/>
        <v>44503</v>
      </c>
      <c r="D53" s="222">
        <f t="shared" si="16"/>
        <v>44524</v>
      </c>
      <c r="E53" s="209" t="s">
        <v>82</v>
      </c>
      <c r="F53" s="162">
        <v>9</v>
      </c>
      <c r="G53" s="202">
        <v>106</v>
      </c>
      <c r="H53" s="203">
        <f t="shared" si="5"/>
        <v>3.0958330474702616E-4</v>
      </c>
      <c r="I53" s="203">
        <f t="shared" si="1"/>
        <v>5.1131360104153957E-4</v>
      </c>
      <c r="J53" s="207">
        <f t="shared" si="17"/>
        <v>5.4199241710403197E-2</v>
      </c>
      <c r="K53" s="211">
        <f t="shared" si="18"/>
        <v>3.2815830303184773E-2</v>
      </c>
      <c r="L53" s="210">
        <f t="shared" si="19"/>
        <v>2.1383411407218424E-2</v>
      </c>
      <c r="M53" s="207">
        <f t="shared" si="7"/>
        <v>7.6359273437319301E-4</v>
      </c>
      <c r="N53" s="208">
        <f t="shared" si="8"/>
        <v>2.2147004141591618E-2</v>
      </c>
      <c r="O53" s="207">
        <f t="shared" si="9"/>
        <v>0</v>
      </c>
      <c r="P53" s="207">
        <f t="shared" si="10"/>
        <v>0</v>
      </c>
      <c r="Q53" s="207">
        <v>0</v>
      </c>
      <c r="R53" s="208">
        <f t="shared" si="11"/>
        <v>2.2147004141591618E-2</v>
      </c>
    </row>
    <row r="54" spans="1:18" x14ac:dyDescent="0.2">
      <c r="A54" s="162">
        <v>11</v>
      </c>
      <c r="B54" s="199">
        <f t="shared" si="15"/>
        <v>44501</v>
      </c>
      <c r="C54" s="222">
        <f t="shared" si="16"/>
        <v>44533</v>
      </c>
      <c r="D54" s="222">
        <f t="shared" si="16"/>
        <v>44557</v>
      </c>
      <c r="E54" s="209" t="s">
        <v>82</v>
      </c>
      <c r="F54" s="162">
        <v>9</v>
      </c>
      <c r="G54" s="202">
        <v>107</v>
      </c>
      <c r="H54" s="203">
        <f t="shared" si="5"/>
        <v>3.0958330474702616E-4</v>
      </c>
      <c r="I54" s="203">
        <f t="shared" si="1"/>
        <v>5.1131360104153957E-4</v>
      </c>
      <c r="J54" s="207">
        <f t="shared" si="17"/>
        <v>5.4710555311444732E-2</v>
      </c>
      <c r="K54" s="211">
        <f t="shared" si="18"/>
        <v>3.3125413607931802E-2</v>
      </c>
      <c r="L54" s="210">
        <f t="shared" si="19"/>
        <v>2.1585141703512931E-2</v>
      </c>
      <c r="M54" s="207">
        <f t="shared" si="7"/>
        <v>7.7079643941444951E-4</v>
      </c>
      <c r="N54" s="208">
        <f t="shared" si="8"/>
        <v>2.2355938142927381E-2</v>
      </c>
      <c r="O54" s="207">
        <f t="shared" si="9"/>
        <v>0</v>
      </c>
      <c r="P54" s="207">
        <f t="shared" si="10"/>
        <v>0</v>
      </c>
      <c r="Q54" s="207">
        <v>0</v>
      </c>
      <c r="R54" s="208">
        <f t="shared" si="11"/>
        <v>2.2355938142927381E-2</v>
      </c>
    </row>
    <row r="55" spans="1:18" x14ac:dyDescent="0.2">
      <c r="A55" s="162">
        <v>12</v>
      </c>
      <c r="B55" s="199">
        <f t="shared" si="15"/>
        <v>44531</v>
      </c>
      <c r="C55" s="222">
        <f t="shared" si="16"/>
        <v>44566</v>
      </c>
      <c r="D55" s="222">
        <f t="shared" si="16"/>
        <v>44585</v>
      </c>
      <c r="E55" s="209" t="s">
        <v>82</v>
      </c>
      <c r="F55" s="162">
        <v>9</v>
      </c>
      <c r="G55" s="202">
        <v>110</v>
      </c>
      <c r="H55" s="214">
        <f t="shared" si="5"/>
        <v>3.0958330474702616E-4</v>
      </c>
      <c r="I55" s="214">
        <f t="shared" si="1"/>
        <v>5.1131360104153957E-4</v>
      </c>
      <c r="J55" s="215">
        <f t="shared" si="17"/>
        <v>5.6244496114569352E-2</v>
      </c>
      <c r="K55" s="216">
        <f t="shared" si="18"/>
        <v>3.405416352217288E-2</v>
      </c>
      <c r="L55" s="217">
        <f t="shared" si="19"/>
        <v>2.2190332592396472E-2</v>
      </c>
      <c r="M55" s="207">
        <f t="shared" si="7"/>
        <v>7.9240755453821913E-4</v>
      </c>
      <c r="N55" s="208">
        <f t="shared" si="8"/>
        <v>2.2982740146934692E-2</v>
      </c>
      <c r="O55" s="207">
        <f t="shared" si="9"/>
        <v>0</v>
      </c>
      <c r="P55" s="207">
        <f t="shared" si="10"/>
        <v>0</v>
      </c>
      <c r="Q55" s="207">
        <v>0</v>
      </c>
      <c r="R55" s="208">
        <f t="shared" si="11"/>
        <v>2.2982740146934692E-2</v>
      </c>
    </row>
    <row r="56" spans="1:18" s="223" customFormat="1" x14ac:dyDescent="0.2">
      <c r="A56" s="125">
        <v>1</v>
      </c>
      <c r="B56" s="218">
        <f t="shared" si="4"/>
        <v>44197</v>
      </c>
      <c r="C56" s="219">
        <f t="shared" ref="C56:D67" si="20">+C32</f>
        <v>44230</v>
      </c>
      <c r="D56" s="219">
        <f t="shared" si="20"/>
        <v>44251</v>
      </c>
      <c r="E56" s="220" t="s">
        <v>14</v>
      </c>
      <c r="F56" s="221">
        <v>9</v>
      </c>
      <c r="G56" s="202">
        <v>767</v>
      </c>
      <c r="H56" s="203">
        <f>+$K$3</f>
        <v>3.0958330474702616E-4</v>
      </c>
      <c r="I56" s="203">
        <f t="shared" si="1"/>
        <v>5.1131360104153957E-4</v>
      </c>
      <c r="J56" s="204">
        <f t="shared" si="2"/>
        <v>0.39217753199886085</v>
      </c>
      <c r="K56" s="205">
        <f t="shared" si="13"/>
        <v>0.23745039474096907</v>
      </c>
      <c r="L56" s="206">
        <f t="shared" si="14"/>
        <v>0.15472713725789178</v>
      </c>
      <c r="M56" s="207">
        <f t="shared" si="7"/>
        <v>5.5252417666437634E-3</v>
      </c>
      <c r="N56" s="208">
        <f t="shared" si="8"/>
        <v>0.16025237902453554</v>
      </c>
      <c r="O56" s="207">
        <f t="shared" si="9"/>
        <v>0</v>
      </c>
      <c r="P56" s="207">
        <f t="shared" si="10"/>
        <v>0</v>
      </c>
      <c r="Q56" s="207">
        <v>0</v>
      </c>
      <c r="R56" s="208">
        <f t="shared" si="11"/>
        <v>0.16025237902453554</v>
      </c>
    </row>
    <row r="57" spans="1:18" x14ac:dyDescent="0.2">
      <c r="A57" s="162">
        <v>2</v>
      </c>
      <c r="B57" s="199">
        <f t="shared" si="4"/>
        <v>44228</v>
      </c>
      <c r="C57" s="222">
        <f t="shared" si="20"/>
        <v>44258</v>
      </c>
      <c r="D57" s="222">
        <f t="shared" si="20"/>
        <v>44279</v>
      </c>
      <c r="E57" s="209" t="s">
        <v>14</v>
      </c>
      <c r="F57" s="162">
        <v>9</v>
      </c>
      <c r="G57" s="202">
        <v>1062</v>
      </c>
      <c r="H57" s="203">
        <f t="shared" si="5"/>
        <v>3.0958330474702616E-4</v>
      </c>
      <c r="I57" s="203">
        <f t="shared" si="1"/>
        <v>5.1131360104153957E-4</v>
      </c>
      <c r="J57" s="204">
        <f t="shared" si="2"/>
        <v>0.54301504430611502</v>
      </c>
      <c r="K57" s="205">
        <f t="shared" si="13"/>
        <v>0.3287774696413418</v>
      </c>
      <c r="L57" s="206">
        <f t="shared" si="14"/>
        <v>0.21423757466477322</v>
      </c>
      <c r="M57" s="207">
        <f t="shared" si="7"/>
        <v>7.6503347538144422E-3</v>
      </c>
      <c r="N57" s="208">
        <f t="shared" si="8"/>
        <v>0.22188790941858766</v>
      </c>
      <c r="O57" s="207">
        <f t="shared" si="9"/>
        <v>0</v>
      </c>
      <c r="P57" s="207">
        <f t="shared" si="10"/>
        <v>0</v>
      </c>
      <c r="Q57" s="207">
        <v>0</v>
      </c>
      <c r="R57" s="208">
        <f t="shared" si="11"/>
        <v>0.22188790941858766</v>
      </c>
    </row>
    <row r="58" spans="1:18" x14ac:dyDescent="0.2">
      <c r="A58" s="162">
        <v>3</v>
      </c>
      <c r="B58" s="199">
        <f t="shared" si="4"/>
        <v>44256</v>
      </c>
      <c r="C58" s="222">
        <f t="shared" si="20"/>
        <v>44291</v>
      </c>
      <c r="D58" s="222">
        <f t="shared" si="20"/>
        <v>44312</v>
      </c>
      <c r="E58" s="209" t="s">
        <v>14</v>
      </c>
      <c r="F58" s="162">
        <v>9</v>
      </c>
      <c r="G58" s="202">
        <v>599</v>
      </c>
      <c r="H58" s="203">
        <f t="shared" si="5"/>
        <v>3.0958330474702616E-4</v>
      </c>
      <c r="I58" s="203">
        <f t="shared" si="1"/>
        <v>5.1131360104153957E-4</v>
      </c>
      <c r="J58" s="204">
        <f t="shared" si="2"/>
        <v>0.30627684702388219</v>
      </c>
      <c r="K58" s="205">
        <f t="shared" si="13"/>
        <v>0.18544039954346866</v>
      </c>
      <c r="L58" s="206">
        <f>+J58-K58</f>
        <v>0.12083644748041353</v>
      </c>
      <c r="M58" s="207">
        <f t="shared" si="7"/>
        <v>4.3150193197126659E-3</v>
      </c>
      <c r="N58" s="208">
        <f t="shared" si="8"/>
        <v>0.1251514668001262</v>
      </c>
      <c r="O58" s="207">
        <f t="shared" si="9"/>
        <v>0</v>
      </c>
      <c r="P58" s="207">
        <f t="shared" si="10"/>
        <v>0</v>
      </c>
      <c r="Q58" s="207">
        <v>0</v>
      </c>
      <c r="R58" s="208">
        <f t="shared" si="11"/>
        <v>0.1251514668001262</v>
      </c>
    </row>
    <row r="59" spans="1:18" x14ac:dyDescent="0.2">
      <c r="A59" s="125">
        <v>4</v>
      </c>
      <c r="B59" s="199">
        <f t="shared" si="4"/>
        <v>44287</v>
      </c>
      <c r="C59" s="222">
        <f t="shared" si="20"/>
        <v>44321</v>
      </c>
      <c r="D59" s="222">
        <f t="shared" si="20"/>
        <v>44340</v>
      </c>
      <c r="E59" s="209" t="s">
        <v>14</v>
      </c>
      <c r="F59" s="162">
        <v>9</v>
      </c>
      <c r="G59" s="202">
        <v>447</v>
      </c>
      <c r="H59" s="203">
        <f t="shared" si="5"/>
        <v>3.0958330474702616E-4</v>
      </c>
      <c r="I59" s="203">
        <f t="shared" si="1"/>
        <v>5.1131360104153957E-4</v>
      </c>
      <c r="J59" s="204">
        <f t="shared" si="2"/>
        <v>0.22855717966556818</v>
      </c>
      <c r="K59" s="205">
        <f t="shared" si="13"/>
        <v>0.13838373722192068</v>
      </c>
      <c r="L59" s="206">
        <f t="shared" ref="L59:L81" si="21">+J59-K59</f>
        <v>9.01734424436475E-2</v>
      </c>
      <c r="M59" s="207">
        <f t="shared" si="7"/>
        <v>3.2200561534416719E-3</v>
      </c>
      <c r="N59" s="208">
        <f t="shared" si="8"/>
        <v>9.3393498597089175E-2</v>
      </c>
      <c r="O59" s="207">
        <f t="shared" si="9"/>
        <v>0</v>
      </c>
      <c r="P59" s="207">
        <f t="shared" si="10"/>
        <v>0</v>
      </c>
      <c r="Q59" s="207">
        <v>0</v>
      </c>
      <c r="R59" s="208">
        <f t="shared" si="11"/>
        <v>9.3393498597089175E-2</v>
      </c>
    </row>
    <row r="60" spans="1:18" x14ac:dyDescent="0.2">
      <c r="A60" s="162">
        <v>5</v>
      </c>
      <c r="B60" s="199">
        <f t="shared" si="4"/>
        <v>44317</v>
      </c>
      <c r="C60" s="222">
        <f t="shared" si="20"/>
        <v>44350</v>
      </c>
      <c r="D60" s="222">
        <f t="shared" si="20"/>
        <v>44371</v>
      </c>
      <c r="E60" s="54" t="s">
        <v>14</v>
      </c>
      <c r="F60" s="162">
        <v>9</v>
      </c>
      <c r="G60" s="202">
        <v>603</v>
      </c>
      <c r="H60" s="203">
        <f t="shared" si="5"/>
        <v>3.0958330474702616E-4</v>
      </c>
      <c r="I60" s="203">
        <f t="shared" si="1"/>
        <v>5.1131360104153957E-4</v>
      </c>
      <c r="J60" s="204">
        <f t="shared" si="2"/>
        <v>0.30832210142804833</v>
      </c>
      <c r="K60" s="205">
        <f t="shared" si="13"/>
        <v>0.18667873276245678</v>
      </c>
      <c r="L60" s="206">
        <f t="shared" si="21"/>
        <v>0.12164336866559156</v>
      </c>
      <c r="M60" s="207">
        <f t="shared" si="7"/>
        <v>4.3438341398776914E-3</v>
      </c>
      <c r="N60" s="208">
        <f t="shared" si="8"/>
        <v>0.12598720280546924</v>
      </c>
      <c r="O60" s="207">
        <f t="shared" si="9"/>
        <v>0</v>
      </c>
      <c r="P60" s="207">
        <f t="shared" si="10"/>
        <v>0</v>
      </c>
      <c r="Q60" s="207">
        <v>0</v>
      </c>
      <c r="R60" s="208">
        <f t="shared" si="11"/>
        <v>0.12598720280546924</v>
      </c>
    </row>
    <row r="61" spans="1:18" x14ac:dyDescent="0.2">
      <c r="A61" s="162">
        <v>6</v>
      </c>
      <c r="B61" s="199">
        <f t="shared" si="4"/>
        <v>44348</v>
      </c>
      <c r="C61" s="222">
        <f t="shared" si="20"/>
        <v>44383</v>
      </c>
      <c r="D61" s="222">
        <f t="shared" si="20"/>
        <v>44401</v>
      </c>
      <c r="E61" s="54" t="s">
        <v>14</v>
      </c>
      <c r="F61" s="162">
        <v>9</v>
      </c>
      <c r="G61" s="202">
        <v>840</v>
      </c>
      <c r="H61" s="203">
        <f t="shared" si="5"/>
        <v>3.0958330474702616E-4</v>
      </c>
      <c r="I61" s="203">
        <f t="shared" si="1"/>
        <v>5.1131360104153957E-4</v>
      </c>
      <c r="J61" s="204">
        <f t="shared" si="2"/>
        <v>0.42950342487489324</v>
      </c>
      <c r="K61" s="205">
        <f t="shared" si="13"/>
        <v>0.26004997598750196</v>
      </c>
      <c r="L61" s="210">
        <f t="shared" si="21"/>
        <v>0.16945344888739128</v>
      </c>
      <c r="M61" s="207">
        <f t="shared" si="7"/>
        <v>6.0511122346554912E-3</v>
      </c>
      <c r="N61" s="208">
        <f t="shared" si="8"/>
        <v>0.17550456112204676</v>
      </c>
      <c r="O61" s="207">
        <f t="shared" si="9"/>
        <v>0</v>
      </c>
      <c r="P61" s="207">
        <f t="shared" si="10"/>
        <v>0</v>
      </c>
      <c r="Q61" s="207">
        <v>0</v>
      </c>
      <c r="R61" s="208">
        <f t="shared" si="11"/>
        <v>0.17550456112204676</v>
      </c>
    </row>
    <row r="62" spans="1:18" x14ac:dyDescent="0.2">
      <c r="A62" s="125">
        <v>7</v>
      </c>
      <c r="B62" s="199">
        <f t="shared" si="4"/>
        <v>44378</v>
      </c>
      <c r="C62" s="222">
        <f t="shared" si="20"/>
        <v>44412</v>
      </c>
      <c r="D62" s="222">
        <f t="shared" si="20"/>
        <v>44432</v>
      </c>
      <c r="E62" s="54" t="s">
        <v>14</v>
      </c>
      <c r="F62" s="162">
        <v>9</v>
      </c>
      <c r="G62" s="202">
        <v>926</v>
      </c>
      <c r="H62" s="203">
        <f t="shared" si="5"/>
        <v>3.0958330474702616E-4</v>
      </c>
      <c r="I62" s="203">
        <f t="shared" si="1"/>
        <v>5.1131360104153957E-4</v>
      </c>
      <c r="J62" s="204">
        <f t="shared" si="2"/>
        <v>0.47347639456446566</v>
      </c>
      <c r="K62" s="211">
        <f t="shared" si="13"/>
        <v>0.28667414019574622</v>
      </c>
      <c r="L62" s="210">
        <f t="shared" si="21"/>
        <v>0.18680225436871944</v>
      </c>
      <c r="M62" s="207">
        <f t="shared" si="7"/>
        <v>6.6706308682035528E-3</v>
      </c>
      <c r="N62" s="208">
        <f t="shared" si="8"/>
        <v>0.19347288523692299</v>
      </c>
      <c r="O62" s="207">
        <f t="shared" si="9"/>
        <v>0</v>
      </c>
      <c r="P62" s="207">
        <f t="shared" si="10"/>
        <v>0</v>
      </c>
      <c r="Q62" s="207">
        <v>0</v>
      </c>
      <c r="R62" s="208">
        <f t="shared" si="11"/>
        <v>0.19347288523692299</v>
      </c>
    </row>
    <row r="63" spans="1:18" x14ac:dyDescent="0.2">
      <c r="A63" s="162">
        <v>8</v>
      </c>
      <c r="B63" s="199">
        <f t="shared" si="4"/>
        <v>44409</v>
      </c>
      <c r="C63" s="222">
        <f t="shared" si="20"/>
        <v>44442</v>
      </c>
      <c r="D63" s="222">
        <f t="shared" si="20"/>
        <v>44463</v>
      </c>
      <c r="E63" s="54" t="s">
        <v>14</v>
      </c>
      <c r="F63" s="162">
        <v>9</v>
      </c>
      <c r="G63" s="202">
        <v>943</v>
      </c>
      <c r="H63" s="203">
        <f t="shared" si="5"/>
        <v>3.0958330474702616E-4</v>
      </c>
      <c r="I63" s="203">
        <f t="shared" si="1"/>
        <v>5.1131360104153957E-4</v>
      </c>
      <c r="J63" s="204">
        <f t="shared" si="2"/>
        <v>0.48216872578217179</v>
      </c>
      <c r="K63" s="211">
        <f t="shared" si="13"/>
        <v>0.29193705637644568</v>
      </c>
      <c r="L63" s="210">
        <f t="shared" si="21"/>
        <v>0.19023166940572611</v>
      </c>
      <c r="M63" s="207">
        <f t="shared" si="7"/>
        <v>6.7930938539049147E-3</v>
      </c>
      <c r="N63" s="208">
        <f t="shared" si="8"/>
        <v>0.19702476325963103</v>
      </c>
      <c r="O63" s="207">
        <f t="shared" si="9"/>
        <v>0</v>
      </c>
      <c r="P63" s="207">
        <f t="shared" si="10"/>
        <v>0</v>
      </c>
      <c r="Q63" s="207">
        <v>0</v>
      </c>
      <c r="R63" s="208">
        <f t="shared" si="11"/>
        <v>0.19702476325963103</v>
      </c>
    </row>
    <row r="64" spans="1:18" x14ac:dyDescent="0.2">
      <c r="A64" s="162">
        <v>9</v>
      </c>
      <c r="B64" s="199">
        <f t="shared" si="4"/>
        <v>44440</v>
      </c>
      <c r="C64" s="222">
        <f t="shared" si="20"/>
        <v>44474</v>
      </c>
      <c r="D64" s="222">
        <f t="shared" si="20"/>
        <v>44494</v>
      </c>
      <c r="E64" s="54" t="s">
        <v>14</v>
      </c>
      <c r="F64" s="162">
        <v>9</v>
      </c>
      <c r="G64" s="202">
        <v>913</v>
      </c>
      <c r="H64" s="203">
        <f t="shared" si="5"/>
        <v>3.0958330474702616E-4</v>
      </c>
      <c r="I64" s="203">
        <f t="shared" ref="I64:I107" si="22">$J$3</f>
        <v>5.1131360104153957E-4</v>
      </c>
      <c r="J64" s="204">
        <f t="shared" si="2"/>
        <v>0.46682931775092562</v>
      </c>
      <c r="K64" s="211">
        <f t="shared" si="13"/>
        <v>0.2826495572340349</v>
      </c>
      <c r="L64" s="210">
        <f t="shared" si="21"/>
        <v>0.18417976051689072</v>
      </c>
      <c r="M64" s="207">
        <f t="shared" si="7"/>
        <v>6.5769827026672181E-3</v>
      </c>
      <c r="N64" s="208">
        <f t="shared" si="8"/>
        <v>0.19075674321955793</v>
      </c>
      <c r="O64" s="207">
        <f t="shared" si="9"/>
        <v>0</v>
      </c>
      <c r="P64" s="207">
        <f t="shared" si="10"/>
        <v>0</v>
      </c>
      <c r="Q64" s="207">
        <v>0</v>
      </c>
      <c r="R64" s="208">
        <f t="shared" si="11"/>
        <v>0.19075674321955793</v>
      </c>
    </row>
    <row r="65" spans="1:18" x14ac:dyDescent="0.2">
      <c r="A65" s="125">
        <v>10</v>
      </c>
      <c r="B65" s="199">
        <f t="shared" si="4"/>
        <v>44470</v>
      </c>
      <c r="C65" s="222">
        <f t="shared" si="20"/>
        <v>44503</v>
      </c>
      <c r="D65" s="222">
        <f t="shared" si="20"/>
        <v>44524</v>
      </c>
      <c r="E65" s="54" t="s">
        <v>14</v>
      </c>
      <c r="F65" s="162">
        <v>9</v>
      </c>
      <c r="G65" s="202">
        <v>681</v>
      </c>
      <c r="H65" s="203">
        <f t="shared" si="5"/>
        <v>3.0958330474702616E-4</v>
      </c>
      <c r="I65" s="203">
        <f t="shared" si="22"/>
        <v>5.1131360104153957E-4</v>
      </c>
      <c r="J65" s="204">
        <f t="shared" si="2"/>
        <v>0.34820456230928842</v>
      </c>
      <c r="K65" s="211">
        <f t="shared" si="13"/>
        <v>0.21082623053272481</v>
      </c>
      <c r="L65" s="210">
        <f t="shared" si="21"/>
        <v>0.13737833177656361</v>
      </c>
      <c r="M65" s="207">
        <f t="shared" si="7"/>
        <v>4.9057231330957018E-3</v>
      </c>
      <c r="N65" s="208">
        <f t="shared" si="8"/>
        <v>0.14228405490965931</v>
      </c>
      <c r="O65" s="207">
        <f t="shared" si="9"/>
        <v>0</v>
      </c>
      <c r="P65" s="207">
        <f t="shared" si="10"/>
        <v>0</v>
      </c>
      <c r="Q65" s="207">
        <v>0</v>
      </c>
      <c r="R65" s="208">
        <f t="shared" si="11"/>
        <v>0.14228405490965931</v>
      </c>
    </row>
    <row r="66" spans="1:18" x14ac:dyDescent="0.2">
      <c r="A66" s="162">
        <v>11</v>
      </c>
      <c r="B66" s="199">
        <f t="shared" si="4"/>
        <v>44501</v>
      </c>
      <c r="C66" s="222">
        <f t="shared" si="20"/>
        <v>44533</v>
      </c>
      <c r="D66" s="222">
        <f t="shared" si="20"/>
        <v>44557</v>
      </c>
      <c r="E66" s="54" t="s">
        <v>14</v>
      </c>
      <c r="F66" s="162">
        <v>9</v>
      </c>
      <c r="G66" s="202">
        <v>652</v>
      </c>
      <c r="H66" s="203">
        <f t="shared" si="5"/>
        <v>3.0958330474702616E-4</v>
      </c>
      <c r="I66" s="203">
        <f t="shared" si="22"/>
        <v>5.1131360104153957E-4</v>
      </c>
      <c r="J66" s="204">
        <f t="shared" si="2"/>
        <v>0.33337646787908382</v>
      </c>
      <c r="K66" s="211">
        <f t="shared" si="13"/>
        <v>0.20184831469506107</v>
      </c>
      <c r="L66" s="210">
        <f t="shared" si="21"/>
        <v>0.13152815318402275</v>
      </c>
      <c r="M66" s="207">
        <f t="shared" si="7"/>
        <v>4.6968156868992623E-3</v>
      </c>
      <c r="N66" s="208">
        <f t="shared" si="8"/>
        <v>0.136224968870922</v>
      </c>
      <c r="O66" s="207">
        <f t="shared" si="9"/>
        <v>0</v>
      </c>
      <c r="P66" s="207">
        <f t="shared" si="10"/>
        <v>0</v>
      </c>
      <c r="Q66" s="207">
        <v>0</v>
      </c>
      <c r="R66" s="208">
        <f t="shared" si="11"/>
        <v>0.136224968870922</v>
      </c>
    </row>
    <row r="67" spans="1:18" s="226" customFormat="1" x14ac:dyDescent="0.2">
      <c r="A67" s="162">
        <v>12</v>
      </c>
      <c r="B67" s="224">
        <f t="shared" si="4"/>
        <v>44531</v>
      </c>
      <c r="C67" s="222">
        <f t="shared" si="20"/>
        <v>44566</v>
      </c>
      <c r="D67" s="222">
        <f t="shared" si="20"/>
        <v>44585</v>
      </c>
      <c r="E67" s="225" t="s">
        <v>14</v>
      </c>
      <c r="F67" s="173">
        <v>9</v>
      </c>
      <c r="G67" s="202">
        <v>634</v>
      </c>
      <c r="H67" s="214">
        <f t="shared" si="5"/>
        <v>3.0958330474702616E-4</v>
      </c>
      <c r="I67" s="214">
        <f t="shared" si="22"/>
        <v>5.1131360104153957E-4</v>
      </c>
      <c r="J67" s="215">
        <f t="shared" si="2"/>
        <v>0.32417282306033607</v>
      </c>
      <c r="K67" s="216">
        <f t="shared" si="13"/>
        <v>0.1962758152096146</v>
      </c>
      <c r="L67" s="217">
        <f t="shared" si="21"/>
        <v>0.12789700785072147</v>
      </c>
      <c r="M67" s="207">
        <f t="shared" si="7"/>
        <v>4.5671489961566442E-3</v>
      </c>
      <c r="N67" s="208">
        <f t="shared" si="8"/>
        <v>0.13246415684687812</v>
      </c>
      <c r="O67" s="207">
        <f t="shared" si="9"/>
        <v>0</v>
      </c>
      <c r="P67" s="207">
        <f t="shared" si="10"/>
        <v>0</v>
      </c>
      <c r="Q67" s="207">
        <v>0</v>
      </c>
      <c r="R67" s="208">
        <f t="shared" si="11"/>
        <v>0.13246415684687812</v>
      </c>
    </row>
    <row r="68" spans="1:18" x14ac:dyDescent="0.2">
      <c r="A68" s="125">
        <v>1</v>
      </c>
      <c r="B68" s="199">
        <f t="shared" si="4"/>
        <v>44197</v>
      </c>
      <c r="C68" s="219">
        <f t="shared" ref="C68:D79" si="23">+C56</f>
        <v>44230</v>
      </c>
      <c r="D68" s="219">
        <f t="shared" si="23"/>
        <v>44251</v>
      </c>
      <c r="E68" s="201" t="s">
        <v>85</v>
      </c>
      <c r="F68" s="125">
        <v>9</v>
      </c>
      <c r="G68" s="202">
        <v>38</v>
      </c>
      <c r="H68" s="203">
        <f>+$K$3</f>
        <v>3.0958330474702616E-4</v>
      </c>
      <c r="I68" s="203">
        <f t="shared" si="22"/>
        <v>5.1131360104153957E-4</v>
      </c>
      <c r="J68" s="204">
        <f t="shared" si="2"/>
        <v>1.9429916839578502E-2</v>
      </c>
      <c r="K68" s="205">
        <f t="shared" si="13"/>
        <v>1.1764165580386994E-2</v>
      </c>
      <c r="L68" s="206">
        <f t="shared" si="21"/>
        <v>7.6657512591915087E-3</v>
      </c>
      <c r="M68" s="207">
        <f t="shared" si="7"/>
        <v>2.7374079156774843E-4</v>
      </c>
      <c r="N68" s="208">
        <f t="shared" si="8"/>
        <v>7.9394920507592573E-3</v>
      </c>
      <c r="O68" s="207">
        <f t="shared" si="9"/>
        <v>0</v>
      </c>
      <c r="P68" s="207">
        <f t="shared" si="10"/>
        <v>0</v>
      </c>
      <c r="Q68" s="207">
        <v>0</v>
      </c>
      <c r="R68" s="208">
        <f t="shared" si="11"/>
        <v>7.9394920507592573E-3</v>
      </c>
    </row>
    <row r="69" spans="1:18" x14ac:dyDescent="0.2">
      <c r="A69" s="162">
        <v>2</v>
      </c>
      <c r="B69" s="199">
        <f t="shared" si="4"/>
        <v>44228</v>
      </c>
      <c r="C69" s="222">
        <f t="shared" si="23"/>
        <v>44258</v>
      </c>
      <c r="D69" s="222">
        <f t="shared" si="23"/>
        <v>44279</v>
      </c>
      <c r="E69" s="209" t="s">
        <v>85</v>
      </c>
      <c r="F69" s="162">
        <v>9</v>
      </c>
      <c r="G69" s="202">
        <v>60</v>
      </c>
      <c r="H69" s="203">
        <f t="shared" si="5"/>
        <v>3.0958330474702616E-4</v>
      </c>
      <c r="I69" s="203">
        <f t="shared" si="22"/>
        <v>5.1131360104153957E-4</v>
      </c>
      <c r="J69" s="204">
        <f t="shared" si="2"/>
        <v>3.0678816062492374E-2</v>
      </c>
      <c r="K69" s="205">
        <f t="shared" si="13"/>
        <v>1.8574998284821571E-2</v>
      </c>
      <c r="L69" s="206">
        <f t="shared" si="21"/>
        <v>1.2103817777670802E-2</v>
      </c>
      <c r="M69" s="207">
        <f t="shared" si="7"/>
        <v>4.3222230247539224E-4</v>
      </c>
      <c r="N69" s="208">
        <f t="shared" si="8"/>
        <v>1.2536040080146194E-2</v>
      </c>
      <c r="O69" s="207">
        <f t="shared" si="9"/>
        <v>0</v>
      </c>
      <c r="P69" s="207">
        <f t="shared" si="10"/>
        <v>0</v>
      </c>
      <c r="Q69" s="207">
        <v>0</v>
      </c>
      <c r="R69" s="208">
        <f t="shared" si="11"/>
        <v>1.2536040080146194E-2</v>
      </c>
    </row>
    <row r="70" spans="1:18" x14ac:dyDescent="0.2">
      <c r="A70" s="162">
        <v>3</v>
      </c>
      <c r="B70" s="199">
        <f t="shared" si="4"/>
        <v>44256</v>
      </c>
      <c r="C70" s="222">
        <f t="shared" si="23"/>
        <v>44291</v>
      </c>
      <c r="D70" s="222">
        <f t="shared" si="23"/>
        <v>44312</v>
      </c>
      <c r="E70" s="209" t="s">
        <v>85</v>
      </c>
      <c r="F70" s="162">
        <v>9</v>
      </c>
      <c r="G70" s="202">
        <v>31</v>
      </c>
      <c r="H70" s="203">
        <f t="shared" si="5"/>
        <v>3.0958330474702616E-4</v>
      </c>
      <c r="I70" s="203">
        <f t="shared" si="22"/>
        <v>5.1131360104153957E-4</v>
      </c>
      <c r="J70" s="204">
        <f t="shared" si="2"/>
        <v>1.5850721632287727E-2</v>
      </c>
      <c r="K70" s="205">
        <f t="shared" si="13"/>
        <v>9.5970824471578106E-3</v>
      </c>
      <c r="L70" s="206">
        <f>+J70-K70</f>
        <v>6.2536391851299167E-3</v>
      </c>
      <c r="M70" s="207">
        <f t="shared" si="7"/>
        <v>2.2331485627895265E-4</v>
      </c>
      <c r="N70" s="208">
        <f t="shared" si="8"/>
        <v>6.4769540414088694E-3</v>
      </c>
      <c r="O70" s="207">
        <f t="shared" si="9"/>
        <v>0</v>
      </c>
      <c r="P70" s="207">
        <f t="shared" si="10"/>
        <v>0</v>
      </c>
      <c r="Q70" s="207">
        <v>0</v>
      </c>
      <c r="R70" s="208">
        <f t="shared" si="11"/>
        <v>6.4769540414088694E-3</v>
      </c>
    </row>
    <row r="71" spans="1:18" x14ac:dyDescent="0.2">
      <c r="A71" s="125">
        <v>4</v>
      </c>
      <c r="B71" s="199">
        <f t="shared" si="4"/>
        <v>44287</v>
      </c>
      <c r="C71" s="222">
        <f t="shared" si="23"/>
        <v>44321</v>
      </c>
      <c r="D71" s="222">
        <f t="shared" si="23"/>
        <v>44340</v>
      </c>
      <c r="E71" s="209" t="s">
        <v>85</v>
      </c>
      <c r="F71" s="162">
        <v>9</v>
      </c>
      <c r="G71" s="202">
        <v>20</v>
      </c>
      <c r="H71" s="203">
        <f t="shared" si="5"/>
        <v>3.0958330474702616E-4</v>
      </c>
      <c r="I71" s="203">
        <f t="shared" si="22"/>
        <v>5.1131360104153957E-4</v>
      </c>
      <c r="J71" s="204">
        <f t="shared" si="2"/>
        <v>1.0226272020830792E-2</v>
      </c>
      <c r="K71" s="205">
        <f t="shared" si="13"/>
        <v>6.1916660949405235E-3</v>
      </c>
      <c r="L71" s="206">
        <f t="shared" ref="L71:L79" si="24">+J71-K71</f>
        <v>4.0346059258902682E-3</v>
      </c>
      <c r="M71" s="207">
        <f t="shared" si="7"/>
        <v>1.4407410082513075E-4</v>
      </c>
      <c r="N71" s="208">
        <f t="shared" si="8"/>
        <v>4.1786800267153987E-3</v>
      </c>
      <c r="O71" s="207">
        <f t="shared" si="9"/>
        <v>0</v>
      </c>
      <c r="P71" s="207">
        <f t="shared" si="10"/>
        <v>0</v>
      </c>
      <c r="Q71" s="207">
        <v>0</v>
      </c>
      <c r="R71" s="208">
        <f t="shared" si="11"/>
        <v>4.1786800267153987E-3</v>
      </c>
    </row>
    <row r="72" spans="1:18" x14ac:dyDescent="0.2">
      <c r="A72" s="162">
        <v>5</v>
      </c>
      <c r="B72" s="199">
        <f t="shared" si="4"/>
        <v>44317</v>
      </c>
      <c r="C72" s="222">
        <f t="shared" si="23"/>
        <v>44350</v>
      </c>
      <c r="D72" s="222">
        <f t="shared" si="23"/>
        <v>44371</v>
      </c>
      <c r="E72" s="209" t="s">
        <v>85</v>
      </c>
      <c r="F72" s="162">
        <v>9</v>
      </c>
      <c r="G72" s="202">
        <v>28</v>
      </c>
      <c r="H72" s="203">
        <f t="shared" si="5"/>
        <v>3.0958330474702616E-4</v>
      </c>
      <c r="I72" s="203">
        <f t="shared" si="22"/>
        <v>5.1131360104153957E-4</v>
      </c>
      <c r="J72" s="204">
        <f t="shared" si="2"/>
        <v>1.4316780829163107E-2</v>
      </c>
      <c r="K72" s="205">
        <f t="shared" si="13"/>
        <v>8.6683325329167324E-3</v>
      </c>
      <c r="L72" s="206">
        <f t="shared" si="24"/>
        <v>5.648448296246375E-3</v>
      </c>
      <c r="M72" s="207">
        <f t="shared" si="7"/>
        <v>2.0170374115518303E-4</v>
      </c>
      <c r="N72" s="208">
        <f t="shared" si="8"/>
        <v>5.8501520374015584E-3</v>
      </c>
      <c r="O72" s="207">
        <f t="shared" si="9"/>
        <v>0</v>
      </c>
      <c r="P72" s="207">
        <f t="shared" si="10"/>
        <v>0</v>
      </c>
      <c r="Q72" s="207">
        <v>0</v>
      </c>
      <c r="R72" s="208">
        <f t="shared" si="11"/>
        <v>5.8501520374015584E-3</v>
      </c>
    </row>
    <row r="73" spans="1:18" x14ac:dyDescent="0.2">
      <c r="A73" s="162">
        <v>6</v>
      </c>
      <c r="B73" s="199">
        <f t="shared" si="4"/>
        <v>44348</v>
      </c>
      <c r="C73" s="222">
        <f t="shared" si="23"/>
        <v>44383</v>
      </c>
      <c r="D73" s="222">
        <f t="shared" si="23"/>
        <v>44401</v>
      </c>
      <c r="E73" s="209" t="s">
        <v>85</v>
      </c>
      <c r="F73" s="162">
        <v>9</v>
      </c>
      <c r="G73" s="202">
        <v>45</v>
      </c>
      <c r="H73" s="203">
        <f t="shared" si="5"/>
        <v>3.0958330474702616E-4</v>
      </c>
      <c r="I73" s="203">
        <f t="shared" si="22"/>
        <v>5.1131360104153957E-4</v>
      </c>
      <c r="J73" s="204">
        <f t="shared" si="2"/>
        <v>2.3009112046869281E-2</v>
      </c>
      <c r="K73" s="205">
        <f t="shared" si="13"/>
        <v>1.3931248713616177E-2</v>
      </c>
      <c r="L73" s="210">
        <f t="shared" si="24"/>
        <v>9.0778633332531042E-3</v>
      </c>
      <c r="M73" s="207">
        <f t="shared" si="7"/>
        <v>3.2416672685654416E-4</v>
      </c>
      <c r="N73" s="208">
        <f t="shared" si="8"/>
        <v>9.4020300601096486E-3</v>
      </c>
      <c r="O73" s="207">
        <f t="shared" si="9"/>
        <v>0</v>
      </c>
      <c r="P73" s="207">
        <f t="shared" si="10"/>
        <v>0</v>
      </c>
      <c r="Q73" s="207">
        <v>0</v>
      </c>
      <c r="R73" s="208">
        <f t="shared" si="11"/>
        <v>9.4020300601096486E-3</v>
      </c>
    </row>
    <row r="74" spans="1:18" x14ac:dyDescent="0.2">
      <c r="A74" s="125">
        <v>7</v>
      </c>
      <c r="B74" s="199">
        <f t="shared" si="4"/>
        <v>44378</v>
      </c>
      <c r="C74" s="222">
        <f t="shared" si="23"/>
        <v>44412</v>
      </c>
      <c r="D74" s="222">
        <f t="shared" si="23"/>
        <v>44432</v>
      </c>
      <c r="E74" s="209" t="s">
        <v>85</v>
      </c>
      <c r="F74" s="162">
        <v>9</v>
      </c>
      <c r="G74" s="202">
        <v>53</v>
      </c>
      <c r="H74" s="203">
        <f t="shared" si="5"/>
        <v>3.0958330474702616E-4</v>
      </c>
      <c r="I74" s="203">
        <f t="shared" si="22"/>
        <v>5.1131360104153957E-4</v>
      </c>
      <c r="J74" s="204">
        <f t="shared" si="2"/>
        <v>2.7099620855201598E-2</v>
      </c>
      <c r="K74" s="211">
        <f t="shared" si="13"/>
        <v>1.6407915151592387E-2</v>
      </c>
      <c r="L74" s="210">
        <f t="shared" si="24"/>
        <v>1.0691705703609212E-2</v>
      </c>
      <c r="M74" s="207">
        <f t="shared" si="7"/>
        <v>3.8179636718659651E-4</v>
      </c>
      <c r="N74" s="208">
        <f t="shared" si="8"/>
        <v>1.1073502070795809E-2</v>
      </c>
      <c r="O74" s="207">
        <f t="shared" si="9"/>
        <v>0</v>
      </c>
      <c r="P74" s="207">
        <f t="shared" si="10"/>
        <v>0</v>
      </c>
      <c r="Q74" s="207">
        <v>0</v>
      </c>
      <c r="R74" s="208">
        <f t="shared" si="11"/>
        <v>1.1073502070795809E-2</v>
      </c>
    </row>
    <row r="75" spans="1:18" x14ac:dyDescent="0.2">
      <c r="A75" s="162">
        <v>8</v>
      </c>
      <c r="B75" s="199">
        <f t="shared" si="4"/>
        <v>44409</v>
      </c>
      <c r="C75" s="222">
        <f t="shared" si="23"/>
        <v>44442</v>
      </c>
      <c r="D75" s="222">
        <f t="shared" si="23"/>
        <v>44463</v>
      </c>
      <c r="E75" s="209" t="s">
        <v>85</v>
      </c>
      <c r="F75" s="162">
        <v>9</v>
      </c>
      <c r="G75" s="202">
        <v>50</v>
      </c>
      <c r="H75" s="203">
        <f t="shared" si="5"/>
        <v>3.0958330474702616E-4</v>
      </c>
      <c r="I75" s="203">
        <f t="shared" si="22"/>
        <v>5.1131360104153957E-4</v>
      </c>
      <c r="J75" s="204">
        <f t="shared" si="2"/>
        <v>2.5565680052076978E-2</v>
      </c>
      <c r="K75" s="211">
        <f t="shared" si="13"/>
        <v>1.5479165237351308E-2</v>
      </c>
      <c r="L75" s="210">
        <f t="shared" si="24"/>
        <v>1.008651481472567E-2</v>
      </c>
      <c r="M75" s="207">
        <f t="shared" si="7"/>
        <v>3.6018525206282689E-4</v>
      </c>
      <c r="N75" s="208">
        <f t="shared" si="8"/>
        <v>1.0446700066788496E-2</v>
      </c>
      <c r="O75" s="207">
        <f t="shared" si="9"/>
        <v>0</v>
      </c>
      <c r="P75" s="207">
        <f t="shared" si="10"/>
        <v>0</v>
      </c>
      <c r="Q75" s="207">
        <v>0</v>
      </c>
      <c r="R75" s="208">
        <f t="shared" si="11"/>
        <v>1.0446700066788496E-2</v>
      </c>
    </row>
    <row r="76" spans="1:18" x14ac:dyDescent="0.2">
      <c r="A76" s="162">
        <v>9</v>
      </c>
      <c r="B76" s="199">
        <f t="shared" si="4"/>
        <v>44440</v>
      </c>
      <c r="C76" s="222">
        <f t="shared" si="23"/>
        <v>44474</v>
      </c>
      <c r="D76" s="222">
        <f t="shared" si="23"/>
        <v>44494</v>
      </c>
      <c r="E76" s="209" t="s">
        <v>85</v>
      </c>
      <c r="F76" s="162">
        <v>9</v>
      </c>
      <c r="G76" s="202">
        <v>49</v>
      </c>
      <c r="H76" s="203">
        <f t="shared" si="5"/>
        <v>3.0958330474702616E-4</v>
      </c>
      <c r="I76" s="203">
        <f t="shared" si="22"/>
        <v>5.1131360104153957E-4</v>
      </c>
      <c r="J76" s="204">
        <f t="shared" si="2"/>
        <v>2.505436645103544E-2</v>
      </c>
      <c r="K76" s="211">
        <f t="shared" si="13"/>
        <v>1.5169581932604282E-2</v>
      </c>
      <c r="L76" s="210">
        <f t="shared" si="24"/>
        <v>9.884784518431158E-3</v>
      </c>
      <c r="M76" s="207">
        <f t="shared" si="7"/>
        <v>3.5298154702157033E-4</v>
      </c>
      <c r="N76" s="208">
        <f t="shared" si="8"/>
        <v>1.0237766065452729E-2</v>
      </c>
      <c r="O76" s="207">
        <f t="shared" si="9"/>
        <v>0</v>
      </c>
      <c r="P76" s="207">
        <f t="shared" si="10"/>
        <v>0</v>
      </c>
      <c r="Q76" s="207">
        <v>0</v>
      </c>
      <c r="R76" s="208">
        <f t="shared" si="11"/>
        <v>1.0237766065452729E-2</v>
      </c>
    </row>
    <row r="77" spans="1:18" x14ac:dyDescent="0.2">
      <c r="A77" s="125">
        <v>10</v>
      </c>
      <c r="B77" s="199">
        <f t="shared" si="4"/>
        <v>44470</v>
      </c>
      <c r="C77" s="222">
        <f t="shared" si="23"/>
        <v>44503</v>
      </c>
      <c r="D77" s="222">
        <f t="shared" si="23"/>
        <v>44524</v>
      </c>
      <c r="E77" s="209" t="s">
        <v>85</v>
      </c>
      <c r="F77" s="162">
        <v>9</v>
      </c>
      <c r="G77" s="202">
        <v>38</v>
      </c>
      <c r="H77" s="203">
        <f t="shared" si="5"/>
        <v>3.0958330474702616E-4</v>
      </c>
      <c r="I77" s="203">
        <f t="shared" si="22"/>
        <v>5.1131360104153957E-4</v>
      </c>
      <c r="J77" s="204">
        <f t="shared" si="2"/>
        <v>1.9429916839578502E-2</v>
      </c>
      <c r="K77" s="211">
        <f t="shared" si="13"/>
        <v>1.1764165580386994E-2</v>
      </c>
      <c r="L77" s="210">
        <f t="shared" si="24"/>
        <v>7.6657512591915087E-3</v>
      </c>
      <c r="M77" s="207">
        <f t="shared" si="7"/>
        <v>2.7374079156774843E-4</v>
      </c>
      <c r="N77" s="208">
        <f t="shared" si="8"/>
        <v>7.9394920507592573E-3</v>
      </c>
      <c r="O77" s="207">
        <f t="shared" si="9"/>
        <v>0</v>
      </c>
      <c r="P77" s="207">
        <f t="shared" si="10"/>
        <v>0</v>
      </c>
      <c r="Q77" s="207">
        <v>0</v>
      </c>
      <c r="R77" s="208">
        <f t="shared" si="11"/>
        <v>7.9394920507592573E-3</v>
      </c>
    </row>
    <row r="78" spans="1:18" x14ac:dyDescent="0.2">
      <c r="A78" s="162">
        <v>11</v>
      </c>
      <c r="B78" s="199">
        <f t="shared" si="4"/>
        <v>44501</v>
      </c>
      <c r="C78" s="222">
        <f t="shared" si="23"/>
        <v>44533</v>
      </c>
      <c r="D78" s="222">
        <f t="shared" si="23"/>
        <v>44557</v>
      </c>
      <c r="E78" s="209" t="s">
        <v>85</v>
      </c>
      <c r="F78" s="162">
        <v>9</v>
      </c>
      <c r="G78" s="202">
        <v>32</v>
      </c>
      <c r="H78" s="203">
        <f t="shared" si="5"/>
        <v>3.0958330474702616E-4</v>
      </c>
      <c r="I78" s="203">
        <f t="shared" si="22"/>
        <v>5.1131360104153957E-4</v>
      </c>
      <c r="J78" s="204">
        <f t="shared" si="2"/>
        <v>1.6362035233329266E-2</v>
      </c>
      <c r="K78" s="211">
        <f>+$G78*H78</f>
        <v>9.9066657519048373E-3</v>
      </c>
      <c r="L78" s="210">
        <f t="shared" si="24"/>
        <v>6.4553694814244288E-3</v>
      </c>
      <c r="M78" s="207">
        <f t="shared" si="7"/>
        <v>2.3051856132020918E-4</v>
      </c>
      <c r="N78" s="208">
        <f t="shared" si="8"/>
        <v>6.6858880427446378E-3</v>
      </c>
      <c r="O78" s="207">
        <f t="shared" si="9"/>
        <v>0</v>
      </c>
      <c r="P78" s="207">
        <f t="shared" si="10"/>
        <v>0</v>
      </c>
      <c r="Q78" s="207">
        <v>0</v>
      </c>
      <c r="R78" s="208">
        <f t="shared" si="11"/>
        <v>6.6858880427446378E-3</v>
      </c>
    </row>
    <row r="79" spans="1:18" s="226" customFormat="1" x14ac:dyDescent="0.2">
      <c r="A79" s="162">
        <v>12</v>
      </c>
      <c r="B79" s="224">
        <f t="shared" si="4"/>
        <v>44531</v>
      </c>
      <c r="C79" s="227">
        <f t="shared" si="23"/>
        <v>44566</v>
      </c>
      <c r="D79" s="227">
        <f t="shared" si="23"/>
        <v>44585</v>
      </c>
      <c r="E79" s="228" t="s">
        <v>85</v>
      </c>
      <c r="F79" s="173">
        <v>9</v>
      </c>
      <c r="G79" s="202">
        <v>31</v>
      </c>
      <c r="H79" s="214">
        <f t="shared" si="5"/>
        <v>3.0958330474702616E-4</v>
      </c>
      <c r="I79" s="214">
        <f t="shared" si="22"/>
        <v>5.1131360104153957E-4</v>
      </c>
      <c r="J79" s="215">
        <f t="shared" si="2"/>
        <v>1.5850721632287727E-2</v>
      </c>
      <c r="K79" s="216">
        <f>+$G79*H79</f>
        <v>9.5970824471578106E-3</v>
      </c>
      <c r="L79" s="217">
        <f t="shared" si="24"/>
        <v>6.2536391851299167E-3</v>
      </c>
      <c r="M79" s="207">
        <f t="shared" si="7"/>
        <v>2.2331485627895265E-4</v>
      </c>
      <c r="N79" s="208">
        <f t="shared" si="8"/>
        <v>6.4769540414088694E-3</v>
      </c>
      <c r="O79" s="207">
        <f t="shared" si="9"/>
        <v>0</v>
      </c>
      <c r="P79" s="207">
        <f t="shared" si="10"/>
        <v>0</v>
      </c>
      <c r="Q79" s="207">
        <v>0</v>
      </c>
      <c r="R79" s="208">
        <f t="shared" si="11"/>
        <v>6.4769540414088694E-3</v>
      </c>
    </row>
    <row r="80" spans="1:18" s="52" customFormat="1" ht="12.75" customHeight="1" x14ac:dyDescent="0.2">
      <c r="A80" s="125">
        <v>1</v>
      </c>
      <c r="B80" s="199">
        <f t="shared" si="4"/>
        <v>44197</v>
      </c>
      <c r="C80" s="219">
        <f t="shared" ref="C80:D91" si="25">+C56</f>
        <v>44230</v>
      </c>
      <c r="D80" s="219">
        <f t="shared" si="25"/>
        <v>44251</v>
      </c>
      <c r="E80" s="201" t="s">
        <v>9</v>
      </c>
      <c r="F80" s="125">
        <v>9</v>
      </c>
      <c r="G80" s="202">
        <v>43</v>
      </c>
      <c r="H80" s="203">
        <f>+$K$3</f>
        <v>3.0958330474702616E-4</v>
      </c>
      <c r="I80" s="203">
        <f t="shared" si="22"/>
        <v>5.1131360104153957E-4</v>
      </c>
      <c r="J80" s="204">
        <f t="shared" si="2"/>
        <v>2.19864848447862E-2</v>
      </c>
      <c r="K80" s="205">
        <f t="shared" si="13"/>
        <v>1.3312082104122125E-2</v>
      </c>
      <c r="L80" s="206">
        <f t="shared" si="21"/>
        <v>8.6744027406640747E-3</v>
      </c>
      <c r="M80" s="207">
        <f t="shared" si="7"/>
        <v>3.0975931677403111E-4</v>
      </c>
      <c r="N80" s="208">
        <f t="shared" si="8"/>
        <v>8.984162057438105E-3</v>
      </c>
      <c r="O80" s="207">
        <f t="shared" si="9"/>
        <v>0</v>
      </c>
      <c r="P80" s="207">
        <f t="shared" si="10"/>
        <v>0</v>
      </c>
      <c r="Q80" s="207">
        <v>0</v>
      </c>
      <c r="R80" s="208">
        <f t="shared" si="11"/>
        <v>8.984162057438105E-3</v>
      </c>
    </row>
    <row r="81" spans="1:18" x14ac:dyDescent="0.2">
      <c r="A81" s="162">
        <v>2</v>
      </c>
      <c r="B81" s="199">
        <f t="shared" si="4"/>
        <v>44228</v>
      </c>
      <c r="C81" s="222">
        <f t="shared" si="25"/>
        <v>44258</v>
      </c>
      <c r="D81" s="222">
        <f t="shared" si="25"/>
        <v>44279</v>
      </c>
      <c r="E81" s="209" t="s">
        <v>9</v>
      </c>
      <c r="F81" s="162">
        <v>9</v>
      </c>
      <c r="G81" s="202">
        <v>48</v>
      </c>
      <c r="H81" s="203">
        <f t="shared" si="5"/>
        <v>3.0958330474702616E-4</v>
      </c>
      <c r="I81" s="203">
        <f t="shared" si="22"/>
        <v>5.1131360104153957E-4</v>
      </c>
      <c r="J81" s="204">
        <f t="shared" si="2"/>
        <v>2.4543052849993897E-2</v>
      </c>
      <c r="K81" s="205">
        <f t="shared" si="13"/>
        <v>1.4859998627857255E-2</v>
      </c>
      <c r="L81" s="206">
        <f t="shared" si="21"/>
        <v>9.6830542221366424E-3</v>
      </c>
      <c r="M81" s="207">
        <f t="shared" si="7"/>
        <v>3.4577784198031378E-4</v>
      </c>
      <c r="N81" s="208">
        <f t="shared" si="8"/>
        <v>1.0028832064116956E-2</v>
      </c>
      <c r="O81" s="207">
        <f t="shared" si="9"/>
        <v>0</v>
      </c>
      <c r="P81" s="207">
        <f t="shared" si="10"/>
        <v>0</v>
      </c>
      <c r="Q81" s="207">
        <v>0</v>
      </c>
      <c r="R81" s="208">
        <f t="shared" si="11"/>
        <v>1.0028832064116956E-2</v>
      </c>
    </row>
    <row r="82" spans="1:18" x14ac:dyDescent="0.2">
      <c r="A82" s="162">
        <v>3</v>
      </c>
      <c r="B82" s="199">
        <f t="shared" si="4"/>
        <v>44256</v>
      </c>
      <c r="C82" s="222">
        <f t="shared" si="25"/>
        <v>44291</v>
      </c>
      <c r="D82" s="222">
        <f t="shared" si="25"/>
        <v>44312</v>
      </c>
      <c r="E82" s="209" t="s">
        <v>9</v>
      </c>
      <c r="F82" s="162">
        <v>9</v>
      </c>
      <c r="G82" s="202">
        <v>35</v>
      </c>
      <c r="H82" s="203">
        <f t="shared" si="5"/>
        <v>3.0958330474702616E-4</v>
      </c>
      <c r="I82" s="203">
        <f t="shared" si="22"/>
        <v>5.1131360104153957E-4</v>
      </c>
      <c r="J82" s="204">
        <f t="shared" si="2"/>
        <v>1.7895976036453886E-2</v>
      </c>
      <c r="K82" s="205">
        <f t="shared" si="13"/>
        <v>1.0835415666145915E-2</v>
      </c>
      <c r="L82" s="206">
        <f>+J82-K82</f>
        <v>7.0605603703079705E-3</v>
      </c>
      <c r="M82" s="207">
        <f t="shared" si="7"/>
        <v>2.5212967644397882E-4</v>
      </c>
      <c r="N82" s="208">
        <f t="shared" si="8"/>
        <v>7.3126900467519497E-3</v>
      </c>
      <c r="O82" s="207">
        <f t="shared" si="9"/>
        <v>0</v>
      </c>
      <c r="P82" s="207">
        <f t="shared" si="10"/>
        <v>0</v>
      </c>
      <c r="Q82" s="207">
        <v>0</v>
      </c>
      <c r="R82" s="208">
        <f t="shared" si="11"/>
        <v>7.3126900467519497E-3</v>
      </c>
    </row>
    <row r="83" spans="1:18" ht="12" customHeight="1" x14ac:dyDescent="0.2">
      <c r="A83" s="125">
        <v>4</v>
      </c>
      <c r="B83" s="199">
        <f t="shared" si="4"/>
        <v>44287</v>
      </c>
      <c r="C83" s="222">
        <f t="shared" si="25"/>
        <v>44321</v>
      </c>
      <c r="D83" s="222">
        <f t="shared" si="25"/>
        <v>44340</v>
      </c>
      <c r="E83" s="54" t="s">
        <v>9</v>
      </c>
      <c r="F83" s="162">
        <v>9</v>
      </c>
      <c r="G83" s="202">
        <v>29</v>
      </c>
      <c r="H83" s="203">
        <f t="shared" si="5"/>
        <v>3.0958330474702616E-4</v>
      </c>
      <c r="I83" s="203">
        <f t="shared" si="22"/>
        <v>5.1131360104153957E-4</v>
      </c>
      <c r="J83" s="204">
        <f t="shared" si="2"/>
        <v>1.4828094430204648E-2</v>
      </c>
      <c r="K83" s="205">
        <f t="shared" si="13"/>
        <v>8.977915837663759E-3</v>
      </c>
      <c r="L83" s="206">
        <f t="shared" ref="L83:L93" si="26">+J83-K83</f>
        <v>5.8501785925408889E-3</v>
      </c>
      <c r="M83" s="207">
        <f t="shared" si="7"/>
        <v>2.0890744619643959E-4</v>
      </c>
      <c r="N83" s="208">
        <f t="shared" si="8"/>
        <v>6.0590860387373284E-3</v>
      </c>
      <c r="O83" s="207">
        <f t="shared" si="9"/>
        <v>0</v>
      </c>
      <c r="P83" s="207">
        <f t="shared" si="10"/>
        <v>0</v>
      </c>
      <c r="Q83" s="207">
        <v>0</v>
      </c>
      <c r="R83" s="208">
        <f t="shared" si="11"/>
        <v>6.0590860387373284E-3</v>
      </c>
    </row>
    <row r="84" spans="1:18" ht="12" customHeight="1" x14ac:dyDescent="0.2">
      <c r="A84" s="162">
        <v>5</v>
      </c>
      <c r="B84" s="199">
        <f t="shared" si="4"/>
        <v>44317</v>
      </c>
      <c r="C84" s="222">
        <f t="shared" si="25"/>
        <v>44350</v>
      </c>
      <c r="D84" s="222">
        <f t="shared" si="25"/>
        <v>44371</v>
      </c>
      <c r="E84" s="54" t="s">
        <v>9</v>
      </c>
      <c r="F84" s="162">
        <v>9</v>
      </c>
      <c r="G84" s="202">
        <v>34</v>
      </c>
      <c r="H84" s="203">
        <f t="shared" si="5"/>
        <v>3.0958330474702616E-4</v>
      </c>
      <c r="I84" s="203">
        <f t="shared" si="22"/>
        <v>5.1131360104153957E-4</v>
      </c>
      <c r="J84" s="204">
        <f t="shared" si="2"/>
        <v>1.7384662435412344E-2</v>
      </c>
      <c r="K84" s="205">
        <f t="shared" si="13"/>
        <v>1.0525832361398889E-2</v>
      </c>
      <c r="L84" s="206">
        <f t="shared" si="26"/>
        <v>6.8588300740134549E-3</v>
      </c>
      <c r="M84" s="207">
        <f t="shared" si="7"/>
        <v>2.4492597140272226E-4</v>
      </c>
      <c r="N84" s="208">
        <f t="shared" si="8"/>
        <v>7.103756045416177E-3</v>
      </c>
      <c r="O84" s="207">
        <f t="shared" si="9"/>
        <v>0</v>
      </c>
      <c r="P84" s="207">
        <f t="shared" si="10"/>
        <v>0</v>
      </c>
      <c r="Q84" s="207">
        <v>0</v>
      </c>
      <c r="R84" s="208">
        <f t="shared" si="11"/>
        <v>7.103756045416177E-3</v>
      </c>
    </row>
    <row r="85" spans="1:18" x14ac:dyDescent="0.2">
      <c r="A85" s="162">
        <v>6</v>
      </c>
      <c r="B85" s="199">
        <f t="shared" si="4"/>
        <v>44348</v>
      </c>
      <c r="C85" s="222">
        <f t="shared" si="25"/>
        <v>44383</v>
      </c>
      <c r="D85" s="222">
        <f t="shared" si="25"/>
        <v>44401</v>
      </c>
      <c r="E85" s="54" t="s">
        <v>9</v>
      </c>
      <c r="F85" s="162">
        <v>9</v>
      </c>
      <c r="G85" s="202">
        <v>45</v>
      </c>
      <c r="H85" s="203">
        <f t="shared" ref="H85:H91" si="27">+$K$3</f>
        <v>3.0958330474702616E-4</v>
      </c>
      <c r="I85" s="203">
        <f t="shared" si="22"/>
        <v>5.1131360104153957E-4</v>
      </c>
      <c r="J85" s="204">
        <f t="shared" si="2"/>
        <v>2.3009112046869281E-2</v>
      </c>
      <c r="K85" s="205">
        <f t="shared" si="13"/>
        <v>1.3931248713616177E-2</v>
      </c>
      <c r="L85" s="210">
        <f t="shared" si="26"/>
        <v>9.0778633332531042E-3</v>
      </c>
      <c r="M85" s="207">
        <f t="shared" ref="M85:M148" si="28">G85/$G$212*$M$14</f>
        <v>3.2416672685654416E-4</v>
      </c>
      <c r="N85" s="208">
        <f t="shared" ref="N85:N148" si="29">SUM(L85:M85)</f>
        <v>9.4020300601096486E-3</v>
      </c>
      <c r="O85" s="207">
        <f t="shared" ref="O85:O148" si="30">+$P$3</f>
        <v>0</v>
      </c>
      <c r="P85" s="207">
        <f t="shared" ref="P85:P148" si="31">+G85*O85</f>
        <v>0</v>
      </c>
      <c r="Q85" s="207">
        <v>0</v>
      </c>
      <c r="R85" s="208">
        <f t="shared" ref="R85:R148" si="32">+N85-Q85</f>
        <v>9.4020300601096486E-3</v>
      </c>
    </row>
    <row r="86" spans="1:18" x14ac:dyDescent="0.2">
      <c r="A86" s="125">
        <v>7</v>
      </c>
      <c r="B86" s="199">
        <f t="shared" si="4"/>
        <v>44378</v>
      </c>
      <c r="C86" s="222">
        <f t="shared" si="25"/>
        <v>44412</v>
      </c>
      <c r="D86" s="222">
        <f t="shared" si="25"/>
        <v>44432</v>
      </c>
      <c r="E86" s="54" t="s">
        <v>9</v>
      </c>
      <c r="F86" s="162">
        <v>9</v>
      </c>
      <c r="G86" s="202">
        <v>48</v>
      </c>
      <c r="H86" s="203">
        <f t="shared" si="27"/>
        <v>3.0958330474702616E-4</v>
      </c>
      <c r="I86" s="203">
        <f t="shared" si="22"/>
        <v>5.1131360104153957E-4</v>
      </c>
      <c r="J86" s="204">
        <f t="shared" si="2"/>
        <v>2.4543052849993897E-2</v>
      </c>
      <c r="K86" s="211">
        <f t="shared" si="13"/>
        <v>1.4859998627857255E-2</v>
      </c>
      <c r="L86" s="210">
        <f t="shared" si="26"/>
        <v>9.6830542221366424E-3</v>
      </c>
      <c r="M86" s="207">
        <f t="shared" si="28"/>
        <v>3.4577784198031378E-4</v>
      </c>
      <c r="N86" s="208">
        <f t="shared" si="29"/>
        <v>1.0028832064116956E-2</v>
      </c>
      <c r="O86" s="207">
        <f t="shared" si="30"/>
        <v>0</v>
      </c>
      <c r="P86" s="207">
        <f t="shared" si="31"/>
        <v>0</v>
      </c>
      <c r="Q86" s="207">
        <v>0</v>
      </c>
      <c r="R86" s="208">
        <f t="shared" si="32"/>
        <v>1.0028832064116956E-2</v>
      </c>
    </row>
    <row r="87" spans="1:18" x14ac:dyDescent="0.2">
      <c r="A87" s="162">
        <v>8</v>
      </c>
      <c r="B87" s="199">
        <f t="shared" si="4"/>
        <v>44409</v>
      </c>
      <c r="C87" s="222">
        <f t="shared" si="25"/>
        <v>44442</v>
      </c>
      <c r="D87" s="222">
        <f t="shared" si="25"/>
        <v>44463</v>
      </c>
      <c r="E87" s="54" t="s">
        <v>9</v>
      </c>
      <c r="F87" s="162">
        <v>9</v>
      </c>
      <c r="G87" s="202">
        <v>46</v>
      </c>
      <c r="H87" s="203">
        <f t="shared" si="27"/>
        <v>3.0958330474702616E-4</v>
      </c>
      <c r="I87" s="203">
        <f t="shared" si="22"/>
        <v>5.1131360104153957E-4</v>
      </c>
      <c r="J87" s="204">
        <f t="shared" si="2"/>
        <v>2.352042564791082E-2</v>
      </c>
      <c r="K87" s="211">
        <f t="shared" si="13"/>
        <v>1.4240832018363203E-2</v>
      </c>
      <c r="L87" s="210">
        <f t="shared" si="26"/>
        <v>9.2795936295476163E-3</v>
      </c>
      <c r="M87" s="207">
        <f t="shared" si="28"/>
        <v>3.3137043189780072E-4</v>
      </c>
      <c r="N87" s="208">
        <f t="shared" si="29"/>
        <v>9.6109640614454178E-3</v>
      </c>
      <c r="O87" s="207">
        <f t="shared" si="30"/>
        <v>0</v>
      </c>
      <c r="P87" s="207">
        <f t="shared" si="31"/>
        <v>0</v>
      </c>
      <c r="Q87" s="207">
        <v>0</v>
      </c>
      <c r="R87" s="208">
        <f t="shared" si="32"/>
        <v>9.6109640614454178E-3</v>
      </c>
    </row>
    <row r="88" spans="1:18" x14ac:dyDescent="0.2">
      <c r="A88" s="162">
        <v>9</v>
      </c>
      <c r="B88" s="199">
        <f t="shared" si="4"/>
        <v>44440</v>
      </c>
      <c r="C88" s="222">
        <f t="shared" si="25"/>
        <v>44474</v>
      </c>
      <c r="D88" s="222">
        <f t="shared" si="25"/>
        <v>44494</v>
      </c>
      <c r="E88" s="54" t="s">
        <v>9</v>
      </c>
      <c r="F88" s="162">
        <v>9</v>
      </c>
      <c r="G88" s="202">
        <v>46</v>
      </c>
      <c r="H88" s="203">
        <f t="shared" si="27"/>
        <v>3.0958330474702616E-4</v>
      </c>
      <c r="I88" s="203">
        <f t="shared" si="22"/>
        <v>5.1131360104153957E-4</v>
      </c>
      <c r="J88" s="204">
        <f t="shared" si="2"/>
        <v>2.352042564791082E-2</v>
      </c>
      <c r="K88" s="211">
        <f t="shared" si="13"/>
        <v>1.4240832018363203E-2</v>
      </c>
      <c r="L88" s="210">
        <f t="shared" si="26"/>
        <v>9.2795936295476163E-3</v>
      </c>
      <c r="M88" s="207">
        <f t="shared" si="28"/>
        <v>3.3137043189780072E-4</v>
      </c>
      <c r="N88" s="208">
        <f t="shared" si="29"/>
        <v>9.6109640614454178E-3</v>
      </c>
      <c r="O88" s="207">
        <f t="shared" si="30"/>
        <v>0</v>
      </c>
      <c r="P88" s="207">
        <f t="shared" si="31"/>
        <v>0</v>
      </c>
      <c r="Q88" s="207">
        <v>0</v>
      </c>
      <c r="R88" s="208">
        <f t="shared" si="32"/>
        <v>9.6109640614454178E-3</v>
      </c>
    </row>
    <row r="89" spans="1:18" x14ac:dyDescent="0.2">
      <c r="A89" s="125">
        <v>10</v>
      </c>
      <c r="B89" s="199">
        <f t="shared" si="4"/>
        <v>44470</v>
      </c>
      <c r="C89" s="222">
        <f t="shared" si="25"/>
        <v>44503</v>
      </c>
      <c r="D89" s="222">
        <f t="shared" si="25"/>
        <v>44524</v>
      </c>
      <c r="E89" s="54" t="s">
        <v>9</v>
      </c>
      <c r="F89" s="162">
        <v>9</v>
      </c>
      <c r="G89" s="202">
        <v>41</v>
      </c>
      <c r="H89" s="203">
        <f t="shared" si="27"/>
        <v>3.0958330474702616E-4</v>
      </c>
      <c r="I89" s="203">
        <f t="shared" si="22"/>
        <v>5.1131360104153957E-4</v>
      </c>
      <c r="J89" s="204">
        <f t="shared" si="2"/>
        <v>2.0963857642703122E-2</v>
      </c>
      <c r="K89" s="211">
        <f t="shared" si="13"/>
        <v>1.2692915494628072E-2</v>
      </c>
      <c r="L89" s="210">
        <f t="shared" si="26"/>
        <v>8.2709421480750504E-3</v>
      </c>
      <c r="M89" s="207">
        <f t="shared" si="28"/>
        <v>2.9535190669151799E-4</v>
      </c>
      <c r="N89" s="208">
        <f t="shared" si="29"/>
        <v>8.5662940547665684E-3</v>
      </c>
      <c r="O89" s="207">
        <f t="shared" si="30"/>
        <v>0</v>
      </c>
      <c r="P89" s="207">
        <f t="shared" si="31"/>
        <v>0</v>
      </c>
      <c r="Q89" s="207">
        <v>0</v>
      </c>
      <c r="R89" s="208">
        <f t="shared" si="32"/>
        <v>8.5662940547665684E-3</v>
      </c>
    </row>
    <row r="90" spans="1:18" x14ac:dyDescent="0.2">
      <c r="A90" s="162">
        <v>11</v>
      </c>
      <c r="B90" s="199">
        <f t="shared" si="4"/>
        <v>44501</v>
      </c>
      <c r="C90" s="222">
        <f t="shared" si="25"/>
        <v>44533</v>
      </c>
      <c r="D90" s="222">
        <f t="shared" si="25"/>
        <v>44557</v>
      </c>
      <c r="E90" s="54" t="s">
        <v>9</v>
      </c>
      <c r="F90" s="162">
        <v>9</v>
      </c>
      <c r="G90" s="202">
        <v>40</v>
      </c>
      <c r="H90" s="203">
        <f t="shared" si="27"/>
        <v>3.0958330474702616E-4</v>
      </c>
      <c r="I90" s="203">
        <f t="shared" si="22"/>
        <v>5.1131360104153957E-4</v>
      </c>
      <c r="J90" s="204">
        <f t="shared" si="2"/>
        <v>2.0452544041661583E-2</v>
      </c>
      <c r="K90" s="211">
        <f t="shared" si="13"/>
        <v>1.2383332189881047E-2</v>
      </c>
      <c r="L90" s="210">
        <f t="shared" si="26"/>
        <v>8.0692118517805365E-3</v>
      </c>
      <c r="M90" s="207">
        <f t="shared" si="28"/>
        <v>2.8814820165026149E-4</v>
      </c>
      <c r="N90" s="208">
        <f t="shared" si="29"/>
        <v>8.3573600534307974E-3</v>
      </c>
      <c r="O90" s="207">
        <f t="shared" si="30"/>
        <v>0</v>
      </c>
      <c r="P90" s="207">
        <f t="shared" si="31"/>
        <v>0</v>
      </c>
      <c r="Q90" s="207">
        <v>0</v>
      </c>
      <c r="R90" s="208">
        <f t="shared" si="32"/>
        <v>8.3573600534307974E-3</v>
      </c>
    </row>
    <row r="91" spans="1:18" s="226" customFormat="1" x14ac:dyDescent="0.2">
      <c r="A91" s="162">
        <v>12</v>
      </c>
      <c r="B91" s="224">
        <f t="shared" si="4"/>
        <v>44531</v>
      </c>
      <c r="C91" s="222">
        <f t="shared" si="25"/>
        <v>44566</v>
      </c>
      <c r="D91" s="222">
        <f t="shared" si="25"/>
        <v>44585</v>
      </c>
      <c r="E91" s="225" t="s">
        <v>9</v>
      </c>
      <c r="F91" s="173">
        <v>9</v>
      </c>
      <c r="G91" s="202">
        <v>39</v>
      </c>
      <c r="H91" s="214">
        <f t="shared" si="27"/>
        <v>3.0958330474702616E-4</v>
      </c>
      <c r="I91" s="214">
        <f t="shared" si="22"/>
        <v>5.1131360104153957E-4</v>
      </c>
      <c r="J91" s="215">
        <f t="shared" si="2"/>
        <v>1.9941230440620045E-2</v>
      </c>
      <c r="K91" s="216">
        <f t="shared" si="13"/>
        <v>1.207374888513402E-2</v>
      </c>
      <c r="L91" s="217">
        <f t="shared" si="26"/>
        <v>7.8674815554860243E-3</v>
      </c>
      <c r="M91" s="207">
        <f t="shared" si="28"/>
        <v>2.8094449660900493E-4</v>
      </c>
      <c r="N91" s="208">
        <f t="shared" si="29"/>
        <v>8.14842605209503E-3</v>
      </c>
      <c r="O91" s="207">
        <f t="shared" si="30"/>
        <v>0</v>
      </c>
      <c r="P91" s="207">
        <f t="shared" si="31"/>
        <v>0</v>
      </c>
      <c r="Q91" s="207">
        <v>0</v>
      </c>
      <c r="R91" s="208">
        <f t="shared" si="32"/>
        <v>8.14842605209503E-3</v>
      </c>
    </row>
    <row r="92" spans="1:18" x14ac:dyDescent="0.2">
      <c r="A92" s="125">
        <v>1</v>
      </c>
      <c r="B92" s="199">
        <f t="shared" si="4"/>
        <v>44197</v>
      </c>
      <c r="C92" s="219">
        <f t="shared" ref="C92:D95" si="33">+C80</f>
        <v>44230</v>
      </c>
      <c r="D92" s="219">
        <f t="shared" si="33"/>
        <v>44251</v>
      </c>
      <c r="E92" s="201" t="s">
        <v>8</v>
      </c>
      <c r="F92" s="125">
        <v>9</v>
      </c>
      <c r="G92" s="202">
        <v>76</v>
      </c>
      <c r="H92" s="203">
        <f>+$K$3</f>
        <v>3.0958330474702616E-4</v>
      </c>
      <c r="I92" s="203">
        <f t="shared" si="22"/>
        <v>5.1131360104153957E-4</v>
      </c>
      <c r="J92" s="204">
        <f t="shared" si="2"/>
        <v>3.8859833679157005E-2</v>
      </c>
      <c r="K92" s="205">
        <f t="shared" si="13"/>
        <v>2.3528331160773987E-2</v>
      </c>
      <c r="L92" s="206">
        <f t="shared" si="26"/>
        <v>1.5331502518383017E-2</v>
      </c>
      <c r="M92" s="207">
        <f t="shared" si="28"/>
        <v>5.4748158313549687E-4</v>
      </c>
      <c r="N92" s="208">
        <f t="shared" si="29"/>
        <v>1.5878984101518515E-2</v>
      </c>
      <c r="O92" s="207">
        <f t="shared" si="30"/>
        <v>0</v>
      </c>
      <c r="P92" s="207">
        <f t="shared" si="31"/>
        <v>0</v>
      </c>
      <c r="Q92" s="207">
        <v>0</v>
      </c>
      <c r="R92" s="208">
        <f t="shared" si="32"/>
        <v>1.5878984101518515E-2</v>
      </c>
    </row>
    <row r="93" spans="1:18" x14ac:dyDescent="0.2">
      <c r="A93" s="162">
        <v>2</v>
      </c>
      <c r="B93" s="199">
        <f t="shared" si="4"/>
        <v>44228</v>
      </c>
      <c r="C93" s="222">
        <f t="shared" si="33"/>
        <v>44258</v>
      </c>
      <c r="D93" s="222">
        <f t="shared" si="33"/>
        <v>44279</v>
      </c>
      <c r="E93" s="209" t="s">
        <v>8</v>
      </c>
      <c r="F93" s="162">
        <v>9</v>
      </c>
      <c r="G93" s="202">
        <v>99</v>
      </c>
      <c r="H93" s="203">
        <f t="shared" ref="H93:H103" si="34">+$K$3</f>
        <v>3.0958330474702616E-4</v>
      </c>
      <c r="I93" s="203">
        <f t="shared" si="22"/>
        <v>5.1131360104153957E-4</v>
      </c>
      <c r="J93" s="204">
        <f t="shared" si="2"/>
        <v>5.0620046503112415E-2</v>
      </c>
      <c r="K93" s="205">
        <f t="shared" si="13"/>
        <v>3.0648747169955592E-2</v>
      </c>
      <c r="L93" s="206">
        <f t="shared" si="26"/>
        <v>1.9971299333156823E-2</v>
      </c>
      <c r="M93" s="207">
        <f t="shared" si="28"/>
        <v>7.1316679908439728E-4</v>
      </c>
      <c r="N93" s="208">
        <f t="shared" si="29"/>
        <v>2.068446613224122E-2</v>
      </c>
      <c r="O93" s="207">
        <f t="shared" si="30"/>
        <v>0</v>
      </c>
      <c r="P93" s="207">
        <f t="shared" si="31"/>
        <v>0</v>
      </c>
      <c r="Q93" s="207">
        <v>0</v>
      </c>
      <c r="R93" s="208">
        <f t="shared" si="32"/>
        <v>2.068446613224122E-2</v>
      </c>
    </row>
    <row r="94" spans="1:18" x14ac:dyDescent="0.2">
      <c r="A94" s="162">
        <v>3</v>
      </c>
      <c r="B94" s="199">
        <f t="shared" si="4"/>
        <v>44256</v>
      </c>
      <c r="C94" s="222">
        <f t="shared" si="33"/>
        <v>44291</v>
      </c>
      <c r="D94" s="222">
        <f t="shared" si="33"/>
        <v>44312</v>
      </c>
      <c r="E94" s="209" t="s">
        <v>8</v>
      </c>
      <c r="F94" s="162">
        <v>9</v>
      </c>
      <c r="G94" s="202">
        <v>66</v>
      </c>
      <c r="H94" s="203">
        <f t="shared" si="34"/>
        <v>3.0958330474702616E-4</v>
      </c>
      <c r="I94" s="203">
        <f t="shared" si="22"/>
        <v>5.1131360104153957E-4</v>
      </c>
      <c r="J94" s="204">
        <f t="shared" si="2"/>
        <v>3.374669766874161E-2</v>
      </c>
      <c r="K94" s="205">
        <f t="shared" ref="K94:K133" si="35">+$G94*H94</f>
        <v>2.0432498113303728E-2</v>
      </c>
      <c r="L94" s="206">
        <f>+J94-K94</f>
        <v>1.3314199555437882E-2</v>
      </c>
      <c r="M94" s="207">
        <f t="shared" si="28"/>
        <v>4.7544453272293141E-4</v>
      </c>
      <c r="N94" s="208">
        <f t="shared" si="29"/>
        <v>1.3789644088160814E-2</v>
      </c>
      <c r="O94" s="207">
        <f t="shared" si="30"/>
        <v>0</v>
      </c>
      <c r="P94" s="207">
        <f t="shared" si="31"/>
        <v>0</v>
      </c>
      <c r="Q94" s="207">
        <v>0</v>
      </c>
      <c r="R94" s="208">
        <f t="shared" si="32"/>
        <v>1.3789644088160814E-2</v>
      </c>
    </row>
    <row r="95" spans="1:18" x14ac:dyDescent="0.2">
      <c r="A95" s="125">
        <v>4</v>
      </c>
      <c r="B95" s="199">
        <f t="shared" si="4"/>
        <v>44287</v>
      </c>
      <c r="C95" s="222">
        <f t="shared" si="33"/>
        <v>44321</v>
      </c>
      <c r="D95" s="222">
        <f t="shared" si="33"/>
        <v>44340</v>
      </c>
      <c r="E95" s="209" t="s">
        <v>8</v>
      </c>
      <c r="F95" s="162">
        <v>9</v>
      </c>
      <c r="G95" s="202">
        <v>67</v>
      </c>
      <c r="H95" s="203">
        <f t="shared" si="34"/>
        <v>3.0958330474702616E-4</v>
      </c>
      <c r="I95" s="203">
        <f t="shared" si="22"/>
        <v>5.1131360104153957E-4</v>
      </c>
      <c r="J95" s="204">
        <f t="shared" si="2"/>
        <v>3.4258011269783152E-2</v>
      </c>
      <c r="K95" s="205">
        <f t="shared" si="35"/>
        <v>2.0742081418050753E-2</v>
      </c>
      <c r="L95" s="206">
        <f t="shared" ref="L95:L105" si="36">+J95-K95</f>
        <v>1.3515929851732399E-2</v>
      </c>
      <c r="M95" s="207">
        <f t="shared" si="28"/>
        <v>4.8264823776418797E-4</v>
      </c>
      <c r="N95" s="208">
        <f t="shared" si="29"/>
        <v>1.3998578089496587E-2</v>
      </c>
      <c r="O95" s="207">
        <f t="shared" si="30"/>
        <v>0</v>
      </c>
      <c r="P95" s="207">
        <f t="shared" si="31"/>
        <v>0</v>
      </c>
      <c r="Q95" s="207">
        <v>0</v>
      </c>
      <c r="R95" s="208">
        <f t="shared" si="32"/>
        <v>1.3998578089496587E-2</v>
      </c>
    </row>
    <row r="96" spans="1:18" x14ac:dyDescent="0.2">
      <c r="A96" s="162">
        <v>5</v>
      </c>
      <c r="B96" s="199">
        <f t="shared" si="4"/>
        <v>44317</v>
      </c>
      <c r="C96" s="222">
        <f t="shared" ref="C96:D116" si="37">+C84</f>
        <v>44350</v>
      </c>
      <c r="D96" s="222">
        <f t="shared" si="37"/>
        <v>44371</v>
      </c>
      <c r="E96" s="54" t="s">
        <v>8</v>
      </c>
      <c r="F96" s="162">
        <v>9</v>
      </c>
      <c r="G96" s="202">
        <v>101</v>
      </c>
      <c r="H96" s="203">
        <f t="shared" si="34"/>
        <v>3.0958330474702616E-4</v>
      </c>
      <c r="I96" s="203">
        <f t="shared" si="22"/>
        <v>5.1131360104153957E-4</v>
      </c>
      <c r="J96" s="204">
        <f t="shared" si="2"/>
        <v>5.1642673705195499E-2</v>
      </c>
      <c r="K96" s="205">
        <f t="shared" si="35"/>
        <v>3.1267913779449645E-2</v>
      </c>
      <c r="L96" s="206">
        <f t="shared" si="36"/>
        <v>2.0374759925745854E-2</v>
      </c>
      <c r="M96" s="207">
        <f t="shared" si="28"/>
        <v>7.2757420916691028E-4</v>
      </c>
      <c r="N96" s="208">
        <f t="shared" si="29"/>
        <v>2.1102334134912765E-2</v>
      </c>
      <c r="O96" s="207">
        <f t="shared" si="30"/>
        <v>0</v>
      </c>
      <c r="P96" s="207">
        <f t="shared" si="31"/>
        <v>0</v>
      </c>
      <c r="Q96" s="207">
        <v>0</v>
      </c>
      <c r="R96" s="208">
        <f t="shared" si="32"/>
        <v>2.1102334134912765E-2</v>
      </c>
    </row>
    <row r="97" spans="1:18" x14ac:dyDescent="0.2">
      <c r="A97" s="162">
        <v>6</v>
      </c>
      <c r="B97" s="199">
        <f t="shared" si="4"/>
        <v>44348</v>
      </c>
      <c r="C97" s="222">
        <f t="shared" si="37"/>
        <v>44383</v>
      </c>
      <c r="D97" s="222">
        <f t="shared" si="37"/>
        <v>44401</v>
      </c>
      <c r="E97" s="54" t="s">
        <v>8</v>
      </c>
      <c r="F97" s="162">
        <v>9</v>
      </c>
      <c r="G97" s="202">
        <v>141</v>
      </c>
      <c r="H97" s="203">
        <f t="shared" si="34"/>
        <v>3.0958330474702616E-4</v>
      </c>
      <c r="I97" s="203">
        <f t="shared" si="22"/>
        <v>5.1131360104153957E-4</v>
      </c>
      <c r="J97" s="204">
        <f t="shared" si="2"/>
        <v>7.2095217746857079E-2</v>
      </c>
      <c r="K97" s="205">
        <f t="shared" si="35"/>
        <v>4.365124596933069E-2</v>
      </c>
      <c r="L97" s="210">
        <f t="shared" si="36"/>
        <v>2.8443971777526389E-2</v>
      </c>
      <c r="M97" s="207">
        <f t="shared" si="28"/>
        <v>1.0157224108171719E-3</v>
      </c>
      <c r="N97" s="208">
        <f t="shared" si="29"/>
        <v>2.9459694188343561E-2</v>
      </c>
      <c r="O97" s="207">
        <f t="shared" si="30"/>
        <v>0</v>
      </c>
      <c r="P97" s="207">
        <f t="shared" si="31"/>
        <v>0</v>
      </c>
      <c r="Q97" s="207">
        <v>0</v>
      </c>
      <c r="R97" s="208">
        <f t="shared" si="32"/>
        <v>2.9459694188343561E-2</v>
      </c>
    </row>
    <row r="98" spans="1:18" x14ac:dyDescent="0.2">
      <c r="A98" s="125">
        <v>7</v>
      </c>
      <c r="B98" s="199">
        <f t="shared" si="4"/>
        <v>44378</v>
      </c>
      <c r="C98" s="222">
        <f t="shared" si="37"/>
        <v>44412</v>
      </c>
      <c r="D98" s="222">
        <f t="shared" si="37"/>
        <v>44432</v>
      </c>
      <c r="E98" s="54" t="s">
        <v>8</v>
      </c>
      <c r="F98" s="162">
        <v>9</v>
      </c>
      <c r="G98" s="202">
        <v>145</v>
      </c>
      <c r="H98" s="203">
        <f t="shared" si="34"/>
        <v>3.0958330474702616E-4</v>
      </c>
      <c r="I98" s="203">
        <f t="shared" si="22"/>
        <v>5.1131360104153957E-4</v>
      </c>
      <c r="J98" s="204">
        <f t="shared" si="2"/>
        <v>7.4140472151023235E-2</v>
      </c>
      <c r="K98" s="211">
        <f t="shared" si="35"/>
        <v>4.4889579188318797E-2</v>
      </c>
      <c r="L98" s="210">
        <f t="shared" si="36"/>
        <v>2.9250892962704438E-2</v>
      </c>
      <c r="M98" s="207">
        <f t="shared" si="28"/>
        <v>1.0445372309821979E-3</v>
      </c>
      <c r="N98" s="208">
        <f t="shared" si="29"/>
        <v>3.0295430193686634E-2</v>
      </c>
      <c r="O98" s="207">
        <f t="shared" si="30"/>
        <v>0</v>
      </c>
      <c r="P98" s="207">
        <f t="shared" si="31"/>
        <v>0</v>
      </c>
      <c r="Q98" s="207">
        <v>0</v>
      </c>
      <c r="R98" s="208">
        <f t="shared" si="32"/>
        <v>3.0295430193686634E-2</v>
      </c>
    </row>
    <row r="99" spans="1:18" x14ac:dyDescent="0.2">
      <c r="A99" s="162">
        <v>8</v>
      </c>
      <c r="B99" s="199">
        <f t="shared" si="4"/>
        <v>44409</v>
      </c>
      <c r="C99" s="222">
        <f t="shared" si="37"/>
        <v>44442</v>
      </c>
      <c r="D99" s="222">
        <f t="shared" si="37"/>
        <v>44463</v>
      </c>
      <c r="E99" s="54" t="s">
        <v>8</v>
      </c>
      <c r="F99" s="162">
        <v>9</v>
      </c>
      <c r="G99" s="202">
        <v>149</v>
      </c>
      <c r="H99" s="203">
        <f t="shared" si="34"/>
        <v>3.0958330474702616E-4</v>
      </c>
      <c r="I99" s="203">
        <f t="shared" si="22"/>
        <v>5.1131360104153957E-4</v>
      </c>
      <c r="J99" s="204">
        <f t="shared" si="2"/>
        <v>7.618572655518939E-2</v>
      </c>
      <c r="K99" s="211">
        <f t="shared" si="35"/>
        <v>4.6127912407306897E-2</v>
      </c>
      <c r="L99" s="210">
        <f t="shared" si="36"/>
        <v>3.0057814147882493E-2</v>
      </c>
      <c r="M99" s="207">
        <f t="shared" si="28"/>
        <v>1.0733520511472241E-3</v>
      </c>
      <c r="N99" s="208">
        <f t="shared" si="29"/>
        <v>3.1131166199029718E-2</v>
      </c>
      <c r="O99" s="207">
        <f t="shared" si="30"/>
        <v>0</v>
      </c>
      <c r="P99" s="207">
        <f t="shared" si="31"/>
        <v>0</v>
      </c>
      <c r="Q99" s="207">
        <v>0</v>
      </c>
      <c r="R99" s="208">
        <f t="shared" si="32"/>
        <v>3.1131166199029718E-2</v>
      </c>
    </row>
    <row r="100" spans="1:18" x14ac:dyDescent="0.2">
      <c r="A100" s="162">
        <v>9</v>
      </c>
      <c r="B100" s="199">
        <f t="shared" si="4"/>
        <v>44440</v>
      </c>
      <c r="C100" s="222">
        <f t="shared" si="37"/>
        <v>44474</v>
      </c>
      <c r="D100" s="222">
        <f t="shared" si="37"/>
        <v>44494</v>
      </c>
      <c r="E100" s="54" t="s">
        <v>8</v>
      </c>
      <c r="F100" s="162">
        <v>9</v>
      </c>
      <c r="G100" s="202">
        <v>150</v>
      </c>
      <c r="H100" s="203">
        <f t="shared" si="34"/>
        <v>3.0958330474702616E-4</v>
      </c>
      <c r="I100" s="203">
        <f t="shared" si="22"/>
        <v>5.1131360104153957E-4</v>
      </c>
      <c r="J100" s="204">
        <f t="shared" si="2"/>
        <v>7.6697040156230939E-2</v>
      </c>
      <c r="K100" s="211">
        <f t="shared" si="35"/>
        <v>4.6437495712053925E-2</v>
      </c>
      <c r="L100" s="210">
        <f t="shared" si="36"/>
        <v>3.0259544444177014E-2</v>
      </c>
      <c r="M100" s="207">
        <f t="shared" si="28"/>
        <v>1.0805557561884805E-3</v>
      </c>
      <c r="N100" s="208">
        <f t="shared" si="29"/>
        <v>3.1340100200365498E-2</v>
      </c>
      <c r="O100" s="207">
        <f t="shared" si="30"/>
        <v>0</v>
      </c>
      <c r="P100" s="207">
        <f t="shared" si="31"/>
        <v>0</v>
      </c>
      <c r="Q100" s="207">
        <v>0</v>
      </c>
      <c r="R100" s="208">
        <f t="shared" si="32"/>
        <v>3.1340100200365498E-2</v>
      </c>
    </row>
    <row r="101" spans="1:18" x14ac:dyDescent="0.2">
      <c r="A101" s="125">
        <v>10</v>
      </c>
      <c r="B101" s="199">
        <f t="shared" si="4"/>
        <v>44470</v>
      </c>
      <c r="C101" s="222">
        <f t="shared" si="37"/>
        <v>44503</v>
      </c>
      <c r="D101" s="222">
        <f t="shared" si="37"/>
        <v>44524</v>
      </c>
      <c r="E101" s="54" t="s">
        <v>8</v>
      </c>
      <c r="F101" s="162">
        <v>9</v>
      </c>
      <c r="G101" s="202">
        <v>114</v>
      </c>
      <c r="H101" s="203">
        <f t="shared" si="34"/>
        <v>3.0958330474702616E-4</v>
      </c>
      <c r="I101" s="203">
        <f t="shared" si="22"/>
        <v>5.1131360104153957E-4</v>
      </c>
      <c r="J101" s="204">
        <f t="shared" si="2"/>
        <v>5.8289750518735507E-2</v>
      </c>
      <c r="K101" s="211">
        <f t="shared" si="35"/>
        <v>3.5292496741160979E-2</v>
      </c>
      <c r="L101" s="210">
        <f t="shared" si="36"/>
        <v>2.2997253777574528E-2</v>
      </c>
      <c r="M101" s="207">
        <f t="shared" si="28"/>
        <v>8.2122237470324524E-4</v>
      </c>
      <c r="N101" s="208">
        <f t="shared" si="29"/>
        <v>2.3818476152277772E-2</v>
      </c>
      <c r="O101" s="207">
        <f t="shared" si="30"/>
        <v>0</v>
      </c>
      <c r="P101" s="207">
        <f t="shared" si="31"/>
        <v>0</v>
      </c>
      <c r="Q101" s="207">
        <v>0</v>
      </c>
      <c r="R101" s="208">
        <f t="shared" si="32"/>
        <v>2.3818476152277772E-2</v>
      </c>
    </row>
    <row r="102" spans="1:18" x14ac:dyDescent="0.2">
      <c r="A102" s="162">
        <v>11</v>
      </c>
      <c r="B102" s="199">
        <f t="shared" si="4"/>
        <v>44501</v>
      </c>
      <c r="C102" s="222">
        <f t="shared" si="37"/>
        <v>44533</v>
      </c>
      <c r="D102" s="222">
        <f t="shared" si="37"/>
        <v>44557</v>
      </c>
      <c r="E102" s="54" t="s">
        <v>8</v>
      </c>
      <c r="F102" s="162">
        <v>9</v>
      </c>
      <c r="G102" s="202">
        <v>66</v>
      </c>
      <c r="H102" s="203">
        <f t="shared" si="34"/>
        <v>3.0958330474702616E-4</v>
      </c>
      <c r="I102" s="203">
        <f t="shared" si="22"/>
        <v>5.1131360104153957E-4</v>
      </c>
      <c r="J102" s="204">
        <f t="shared" si="2"/>
        <v>3.374669766874161E-2</v>
      </c>
      <c r="K102" s="211">
        <f t="shared" si="35"/>
        <v>2.0432498113303728E-2</v>
      </c>
      <c r="L102" s="210">
        <f t="shared" si="36"/>
        <v>1.3314199555437882E-2</v>
      </c>
      <c r="M102" s="207">
        <f t="shared" si="28"/>
        <v>4.7544453272293141E-4</v>
      </c>
      <c r="N102" s="208">
        <f t="shared" si="29"/>
        <v>1.3789644088160814E-2</v>
      </c>
      <c r="O102" s="207">
        <f t="shared" si="30"/>
        <v>0</v>
      </c>
      <c r="P102" s="207">
        <f t="shared" si="31"/>
        <v>0</v>
      </c>
      <c r="Q102" s="207">
        <v>0</v>
      </c>
      <c r="R102" s="208">
        <f t="shared" si="32"/>
        <v>1.3789644088160814E-2</v>
      </c>
    </row>
    <row r="103" spans="1:18" s="226" customFormat="1" x14ac:dyDescent="0.2">
      <c r="A103" s="162">
        <v>12</v>
      </c>
      <c r="B103" s="224">
        <f t="shared" si="4"/>
        <v>44531</v>
      </c>
      <c r="C103" s="222">
        <f t="shared" si="37"/>
        <v>44566</v>
      </c>
      <c r="D103" s="222">
        <f t="shared" si="37"/>
        <v>44585</v>
      </c>
      <c r="E103" s="225" t="s">
        <v>8</v>
      </c>
      <c r="F103" s="173">
        <v>9</v>
      </c>
      <c r="G103" s="202">
        <v>72</v>
      </c>
      <c r="H103" s="214">
        <f t="shared" si="34"/>
        <v>3.0958330474702616E-4</v>
      </c>
      <c r="I103" s="214">
        <f t="shared" si="22"/>
        <v>5.1131360104153957E-4</v>
      </c>
      <c r="J103" s="215">
        <f t="shared" si="2"/>
        <v>3.681457927499085E-2</v>
      </c>
      <c r="K103" s="216">
        <f t="shared" si="35"/>
        <v>2.2289997941785884E-2</v>
      </c>
      <c r="L103" s="217">
        <f t="shared" si="36"/>
        <v>1.4524581333204965E-2</v>
      </c>
      <c r="M103" s="207">
        <f t="shared" si="28"/>
        <v>5.1866676297047075E-4</v>
      </c>
      <c r="N103" s="208">
        <f t="shared" si="29"/>
        <v>1.5043248096175436E-2</v>
      </c>
      <c r="O103" s="207">
        <f t="shared" si="30"/>
        <v>0</v>
      </c>
      <c r="P103" s="207">
        <f t="shared" si="31"/>
        <v>0</v>
      </c>
      <c r="Q103" s="207">
        <v>0</v>
      </c>
      <c r="R103" s="208">
        <f t="shared" si="32"/>
        <v>1.5043248096175436E-2</v>
      </c>
    </row>
    <row r="104" spans="1:18" x14ac:dyDescent="0.2">
      <c r="A104" s="125">
        <v>1</v>
      </c>
      <c r="B104" s="199">
        <f t="shared" si="4"/>
        <v>44197</v>
      </c>
      <c r="C104" s="219">
        <f t="shared" si="37"/>
        <v>44230</v>
      </c>
      <c r="D104" s="219">
        <f t="shared" si="37"/>
        <v>44251</v>
      </c>
      <c r="E104" s="201" t="s">
        <v>19</v>
      </c>
      <c r="F104" s="125">
        <v>9</v>
      </c>
      <c r="G104" s="202">
        <v>37</v>
      </c>
      <c r="H104" s="203">
        <f>+$K$3</f>
        <v>3.0958330474702616E-4</v>
      </c>
      <c r="I104" s="203">
        <f t="shared" si="22"/>
        <v>5.1131360104153957E-4</v>
      </c>
      <c r="J104" s="204">
        <f t="shared" si="2"/>
        <v>1.8918603238536964E-2</v>
      </c>
      <c r="K104" s="205">
        <f t="shared" si="35"/>
        <v>1.1454582275639969E-2</v>
      </c>
      <c r="L104" s="206">
        <f t="shared" si="36"/>
        <v>7.4640209628969948E-3</v>
      </c>
      <c r="M104" s="207">
        <f t="shared" si="28"/>
        <v>2.6653708652649188E-4</v>
      </c>
      <c r="N104" s="208">
        <f t="shared" si="29"/>
        <v>7.7305580494234864E-3</v>
      </c>
      <c r="O104" s="207">
        <f t="shared" si="30"/>
        <v>0</v>
      </c>
      <c r="P104" s="207">
        <f t="shared" si="31"/>
        <v>0</v>
      </c>
      <c r="Q104" s="207">
        <v>0</v>
      </c>
      <c r="R104" s="208">
        <f t="shared" si="32"/>
        <v>7.7305580494234864E-3</v>
      </c>
    </row>
    <row r="105" spans="1:18" x14ac:dyDescent="0.2">
      <c r="A105" s="162">
        <v>2</v>
      </c>
      <c r="B105" s="199">
        <f t="shared" si="4"/>
        <v>44228</v>
      </c>
      <c r="C105" s="222">
        <f t="shared" si="37"/>
        <v>44258</v>
      </c>
      <c r="D105" s="222">
        <f t="shared" si="37"/>
        <v>44279</v>
      </c>
      <c r="E105" s="209" t="s">
        <v>19</v>
      </c>
      <c r="F105" s="162">
        <v>9</v>
      </c>
      <c r="G105" s="202">
        <v>33</v>
      </c>
      <c r="H105" s="203">
        <f t="shared" ref="H105:H115" si="38">+$K$3</f>
        <v>3.0958330474702616E-4</v>
      </c>
      <c r="I105" s="203">
        <f t="shared" si="22"/>
        <v>5.1131360104153957E-4</v>
      </c>
      <c r="J105" s="204">
        <f t="shared" si="2"/>
        <v>1.6873348834370805E-2</v>
      </c>
      <c r="K105" s="205">
        <f t="shared" si="35"/>
        <v>1.0216249056651864E-2</v>
      </c>
      <c r="L105" s="206">
        <f t="shared" si="36"/>
        <v>6.657099777718941E-3</v>
      </c>
      <c r="M105" s="207">
        <f t="shared" si="28"/>
        <v>2.3772226636146571E-4</v>
      </c>
      <c r="N105" s="208">
        <f t="shared" si="29"/>
        <v>6.894822044080407E-3</v>
      </c>
      <c r="O105" s="207">
        <f t="shared" si="30"/>
        <v>0</v>
      </c>
      <c r="P105" s="207">
        <f t="shared" si="31"/>
        <v>0</v>
      </c>
      <c r="Q105" s="207">
        <v>0</v>
      </c>
      <c r="R105" s="208">
        <f t="shared" si="32"/>
        <v>6.894822044080407E-3</v>
      </c>
    </row>
    <row r="106" spans="1:18" x14ac:dyDescent="0.2">
      <c r="A106" s="162">
        <v>3</v>
      </c>
      <c r="B106" s="199">
        <f t="shared" si="4"/>
        <v>44256</v>
      </c>
      <c r="C106" s="222">
        <f t="shared" si="37"/>
        <v>44291</v>
      </c>
      <c r="D106" s="222">
        <f t="shared" si="37"/>
        <v>44312</v>
      </c>
      <c r="E106" s="209" t="s">
        <v>19</v>
      </c>
      <c r="F106" s="162">
        <v>9</v>
      </c>
      <c r="G106" s="202">
        <v>47</v>
      </c>
      <c r="H106" s="203">
        <f t="shared" si="38"/>
        <v>3.0958330474702616E-4</v>
      </c>
      <c r="I106" s="203">
        <f t="shared" si="22"/>
        <v>5.1131360104153957E-4</v>
      </c>
      <c r="J106" s="204">
        <f t="shared" si="2"/>
        <v>2.4031739248952359E-2</v>
      </c>
      <c r="K106" s="205">
        <f t="shared" si="35"/>
        <v>1.455041532311023E-2</v>
      </c>
      <c r="L106" s="206">
        <f>+J106-K106</f>
        <v>9.4813239258421285E-3</v>
      </c>
      <c r="M106" s="207">
        <f t="shared" si="28"/>
        <v>3.3857413693905728E-4</v>
      </c>
      <c r="N106" s="208">
        <f t="shared" si="29"/>
        <v>9.8198980627811853E-3</v>
      </c>
      <c r="O106" s="207">
        <f t="shared" si="30"/>
        <v>0</v>
      </c>
      <c r="P106" s="207">
        <f t="shared" si="31"/>
        <v>0</v>
      </c>
      <c r="Q106" s="207">
        <v>0</v>
      </c>
      <c r="R106" s="208">
        <f t="shared" si="32"/>
        <v>9.8198980627811853E-3</v>
      </c>
    </row>
    <row r="107" spans="1:18" x14ac:dyDescent="0.2">
      <c r="A107" s="125">
        <v>4</v>
      </c>
      <c r="B107" s="199">
        <f t="shared" si="4"/>
        <v>44287</v>
      </c>
      <c r="C107" s="222">
        <f t="shared" si="37"/>
        <v>44321</v>
      </c>
      <c r="D107" s="222">
        <f t="shared" si="37"/>
        <v>44340</v>
      </c>
      <c r="E107" s="54" t="s">
        <v>19</v>
      </c>
      <c r="F107" s="162">
        <v>9</v>
      </c>
      <c r="G107" s="202">
        <v>39</v>
      </c>
      <c r="H107" s="203">
        <f t="shared" si="38"/>
        <v>3.0958330474702616E-4</v>
      </c>
      <c r="I107" s="203">
        <f t="shared" si="22"/>
        <v>5.1131360104153957E-4</v>
      </c>
      <c r="J107" s="204">
        <f t="shared" si="2"/>
        <v>1.9941230440620045E-2</v>
      </c>
      <c r="K107" s="205">
        <f t="shared" si="35"/>
        <v>1.207374888513402E-2</v>
      </c>
      <c r="L107" s="206">
        <f t="shared" ref="L107:L115" si="39">+J107-K107</f>
        <v>7.8674815554860243E-3</v>
      </c>
      <c r="M107" s="207">
        <f t="shared" si="28"/>
        <v>2.8094449660900493E-4</v>
      </c>
      <c r="N107" s="208">
        <f t="shared" si="29"/>
        <v>8.14842605209503E-3</v>
      </c>
      <c r="O107" s="207">
        <f t="shared" si="30"/>
        <v>0</v>
      </c>
      <c r="P107" s="207">
        <f t="shared" si="31"/>
        <v>0</v>
      </c>
      <c r="Q107" s="207">
        <v>0</v>
      </c>
      <c r="R107" s="208">
        <f t="shared" si="32"/>
        <v>8.14842605209503E-3</v>
      </c>
    </row>
    <row r="108" spans="1:18" x14ac:dyDescent="0.2">
      <c r="A108" s="162">
        <v>5</v>
      </c>
      <c r="B108" s="199">
        <f t="shared" si="4"/>
        <v>44317</v>
      </c>
      <c r="C108" s="222">
        <f t="shared" si="37"/>
        <v>44350</v>
      </c>
      <c r="D108" s="222">
        <f t="shared" si="37"/>
        <v>44371</v>
      </c>
      <c r="E108" s="54" t="s">
        <v>19</v>
      </c>
      <c r="F108" s="162">
        <v>9</v>
      </c>
      <c r="G108" s="202">
        <v>46</v>
      </c>
      <c r="H108" s="203">
        <f t="shared" si="38"/>
        <v>3.0958330474702616E-4</v>
      </c>
      <c r="I108" s="203">
        <f t="shared" ref="I108:I127" si="40">$J$3</f>
        <v>5.1131360104153957E-4</v>
      </c>
      <c r="J108" s="204">
        <f t="shared" si="2"/>
        <v>2.352042564791082E-2</v>
      </c>
      <c r="K108" s="205">
        <f t="shared" si="35"/>
        <v>1.4240832018363203E-2</v>
      </c>
      <c r="L108" s="206">
        <f t="shared" si="39"/>
        <v>9.2795936295476163E-3</v>
      </c>
      <c r="M108" s="207">
        <f t="shared" si="28"/>
        <v>3.3137043189780072E-4</v>
      </c>
      <c r="N108" s="208">
        <f t="shared" si="29"/>
        <v>9.6109640614454178E-3</v>
      </c>
      <c r="O108" s="207">
        <f t="shared" si="30"/>
        <v>0</v>
      </c>
      <c r="P108" s="207">
        <f t="shared" si="31"/>
        <v>0</v>
      </c>
      <c r="Q108" s="207">
        <v>0</v>
      </c>
      <c r="R108" s="208">
        <f t="shared" si="32"/>
        <v>9.6109640614454178E-3</v>
      </c>
    </row>
    <row r="109" spans="1:18" x14ac:dyDescent="0.2">
      <c r="A109" s="162">
        <v>6</v>
      </c>
      <c r="B109" s="199">
        <f t="shared" ref="B109:B148" si="41">DATE($R$1,A109,1)</f>
        <v>44348</v>
      </c>
      <c r="C109" s="222">
        <f t="shared" si="37"/>
        <v>44383</v>
      </c>
      <c r="D109" s="222">
        <f t="shared" si="37"/>
        <v>44401</v>
      </c>
      <c r="E109" s="54" t="s">
        <v>19</v>
      </c>
      <c r="F109" s="162">
        <v>9</v>
      </c>
      <c r="G109" s="202">
        <v>51</v>
      </c>
      <c r="H109" s="203">
        <f t="shared" si="38"/>
        <v>3.0958330474702616E-4</v>
      </c>
      <c r="I109" s="203">
        <f t="shared" si="40"/>
        <v>5.1131360104153957E-4</v>
      </c>
      <c r="J109" s="204">
        <f t="shared" ref="J109:J148" si="42">+$G109*I109</f>
        <v>2.6076993653118517E-2</v>
      </c>
      <c r="K109" s="205">
        <f t="shared" si="35"/>
        <v>1.5788748542098333E-2</v>
      </c>
      <c r="L109" s="210">
        <f t="shared" si="39"/>
        <v>1.0288245111020184E-2</v>
      </c>
      <c r="M109" s="207">
        <f t="shared" si="28"/>
        <v>3.6738895710408345E-4</v>
      </c>
      <c r="N109" s="208">
        <f t="shared" si="29"/>
        <v>1.0655634068124267E-2</v>
      </c>
      <c r="O109" s="207">
        <f t="shared" si="30"/>
        <v>0</v>
      </c>
      <c r="P109" s="207">
        <f t="shared" si="31"/>
        <v>0</v>
      </c>
      <c r="Q109" s="207">
        <v>0</v>
      </c>
      <c r="R109" s="208">
        <f t="shared" si="32"/>
        <v>1.0655634068124267E-2</v>
      </c>
    </row>
    <row r="110" spans="1:18" x14ac:dyDescent="0.2">
      <c r="A110" s="125">
        <v>7</v>
      </c>
      <c r="B110" s="199">
        <f t="shared" si="41"/>
        <v>44378</v>
      </c>
      <c r="C110" s="222">
        <f t="shared" si="37"/>
        <v>44412</v>
      </c>
      <c r="D110" s="222">
        <f t="shared" si="37"/>
        <v>44432</v>
      </c>
      <c r="E110" s="54" t="s">
        <v>19</v>
      </c>
      <c r="F110" s="162">
        <v>9</v>
      </c>
      <c r="G110" s="202">
        <v>46</v>
      </c>
      <c r="H110" s="203">
        <f t="shared" si="38"/>
        <v>3.0958330474702616E-4</v>
      </c>
      <c r="I110" s="203">
        <f t="shared" si="40"/>
        <v>5.1131360104153957E-4</v>
      </c>
      <c r="J110" s="204">
        <f t="shared" si="42"/>
        <v>2.352042564791082E-2</v>
      </c>
      <c r="K110" s="211">
        <f t="shared" si="35"/>
        <v>1.4240832018363203E-2</v>
      </c>
      <c r="L110" s="210">
        <f t="shared" si="39"/>
        <v>9.2795936295476163E-3</v>
      </c>
      <c r="M110" s="207">
        <f t="shared" si="28"/>
        <v>3.3137043189780072E-4</v>
      </c>
      <c r="N110" s="208">
        <f t="shared" si="29"/>
        <v>9.6109640614454178E-3</v>
      </c>
      <c r="O110" s="207">
        <f t="shared" si="30"/>
        <v>0</v>
      </c>
      <c r="P110" s="207">
        <f t="shared" si="31"/>
        <v>0</v>
      </c>
      <c r="Q110" s="207">
        <v>0</v>
      </c>
      <c r="R110" s="208">
        <f t="shared" si="32"/>
        <v>9.6109640614454178E-3</v>
      </c>
    </row>
    <row r="111" spans="1:18" x14ac:dyDescent="0.2">
      <c r="A111" s="162">
        <v>8</v>
      </c>
      <c r="B111" s="199">
        <f t="shared" si="41"/>
        <v>44409</v>
      </c>
      <c r="C111" s="222">
        <f t="shared" si="37"/>
        <v>44442</v>
      </c>
      <c r="D111" s="222">
        <f t="shared" si="37"/>
        <v>44463</v>
      </c>
      <c r="E111" s="54" t="s">
        <v>19</v>
      </c>
      <c r="F111" s="162">
        <v>9</v>
      </c>
      <c r="G111" s="202">
        <v>50</v>
      </c>
      <c r="H111" s="203">
        <f t="shared" si="38"/>
        <v>3.0958330474702616E-4</v>
      </c>
      <c r="I111" s="203">
        <f t="shared" si="40"/>
        <v>5.1131360104153957E-4</v>
      </c>
      <c r="J111" s="204">
        <f t="shared" si="42"/>
        <v>2.5565680052076978E-2</v>
      </c>
      <c r="K111" s="211">
        <f t="shared" si="35"/>
        <v>1.5479165237351308E-2</v>
      </c>
      <c r="L111" s="210">
        <f t="shared" si="39"/>
        <v>1.008651481472567E-2</v>
      </c>
      <c r="M111" s="207">
        <f t="shared" si="28"/>
        <v>3.6018525206282689E-4</v>
      </c>
      <c r="N111" s="208">
        <f t="shared" si="29"/>
        <v>1.0446700066788496E-2</v>
      </c>
      <c r="O111" s="207">
        <f t="shared" si="30"/>
        <v>0</v>
      </c>
      <c r="P111" s="207">
        <f t="shared" si="31"/>
        <v>0</v>
      </c>
      <c r="Q111" s="207">
        <v>0</v>
      </c>
      <c r="R111" s="208">
        <f t="shared" si="32"/>
        <v>1.0446700066788496E-2</v>
      </c>
    </row>
    <row r="112" spans="1:18" x14ac:dyDescent="0.2">
      <c r="A112" s="162">
        <v>9</v>
      </c>
      <c r="B112" s="199">
        <f t="shared" si="41"/>
        <v>44440</v>
      </c>
      <c r="C112" s="222">
        <f t="shared" si="37"/>
        <v>44474</v>
      </c>
      <c r="D112" s="222">
        <f t="shared" si="37"/>
        <v>44494</v>
      </c>
      <c r="E112" s="54" t="s">
        <v>19</v>
      </c>
      <c r="F112" s="162">
        <v>9</v>
      </c>
      <c r="G112" s="202">
        <v>45</v>
      </c>
      <c r="H112" s="203">
        <f t="shared" si="38"/>
        <v>3.0958330474702616E-4</v>
      </c>
      <c r="I112" s="203">
        <f t="shared" si="40"/>
        <v>5.1131360104153957E-4</v>
      </c>
      <c r="J112" s="204">
        <f t="shared" si="42"/>
        <v>2.3009112046869281E-2</v>
      </c>
      <c r="K112" s="211">
        <f t="shared" si="35"/>
        <v>1.3931248713616177E-2</v>
      </c>
      <c r="L112" s="210">
        <f t="shared" si="39"/>
        <v>9.0778633332531042E-3</v>
      </c>
      <c r="M112" s="207">
        <f t="shared" si="28"/>
        <v>3.2416672685654416E-4</v>
      </c>
      <c r="N112" s="208">
        <f t="shared" si="29"/>
        <v>9.4020300601096486E-3</v>
      </c>
      <c r="O112" s="207">
        <f t="shared" si="30"/>
        <v>0</v>
      </c>
      <c r="P112" s="207">
        <f t="shared" si="31"/>
        <v>0</v>
      </c>
      <c r="Q112" s="207">
        <v>0</v>
      </c>
      <c r="R112" s="208">
        <f t="shared" si="32"/>
        <v>9.4020300601096486E-3</v>
      </c>
    </row>
    <row r="113" spans="1:18" x14ac:dyDescent="0.2">
      <c r="A113" s="125">
        <v>10</v>
      </c>
      <c r="B113" s="199">
        <f t="shared" si="41"/>
        <v>44470</v>
      </c>
      <c r="C113" s="222">
        <f t="shared" si="37"/>
        <v>44503</v>
      </c>
      <c r="D113" s="222">
        <f t="shared" si="37"/>
        <v>44524</v>
      </c>
      <c r="E113" s="54" t="s">
        <v>19</v>
      </c>
      <c r="F113" s="162">
        <v>9</v>
      </c>
      <c r="G113" s="202">
        <v>46</v>
      </c>
      <c r="H113" s="203">
        <f t="shared" si="38"/>
        <v>3.0958330474702616E-4</v>
      </c>
      <c r="I113" s="203">
        <f t="shared" si="40"/>
        <v>5.1131360104153957E-4</v>
      </c>
      <c r="J113" s="204">
        <f t="shared" si="42"/>
        <v>2.352042564791082E-2</v>
      </c>
      <c r="K113" s="211">
        <f t="shared" si="35"/>
        <v>1.4240832018363203E-2</v>
      </c>
      <c r="L113" s="210">
        <f t="shared" si="39"/>
        <v>9.2795936295476163E-3</v>
      </c>
      <c r="M113" s="207">
        <f t="shared" si="28"/>
        <v>3.3137043189780072E-4</v>
      </c>
      <c r="N113" s="208">
        <f t="shared" si="29"/>
        <v>9.6109640614454178E-3</v>
      </c>
      <c r="O113" s="207">
        <f t="shared" si="30"/>
        <v>0</v>
      </c>
      <c r="P113" s="207">
        <f t="shared" si="31"/>
        <v>0</v>
      </c>
      <c r="Q113" s="207">
        <v>0</v>
      </c>
      <c r="R113" s="208">
        <f t="shared" si="32"/>
        <v>9.6109640614454178E-3</v>
      </c>
    </row>
    <row r="114" spans="1:18" x14ac:dyDescent="0.2">
      <c r="A114" s="162">
        <v>11</v>
      </c>
      <c r="B114" s="199">
        <f t="shared" si="41"/>
        <v>44501</v>
      </c>
      <c r="C114" s="222">
        <f t="shared" si="37"/>
        <v>44533</v>
      </c>
      <c r="D114" s="222">
        <f t="shared" si="37"/>
        <v>44557</v>
      </c>
      <c r="E114" s="54" t="s">
        <v>19</v>
      </c>
      <c r="F114" s="162">
        <v>9</v>
      </c>
      <c r="G114" s="202">
        <v>48</v>
      </c>
      <c r="H114" s="203">
        <f t="shared" si="38"/>
        <v>3.0958330474702616E-4</v>
      </c>
      <c r="I114" s="203">
        <f t="shared" si="40"/>
        <v>5.1131360104153957E-4</v>
      </c>
      <c r="J114" s="204">
        <f t="shared" si="42"/>
        <v>2.4543052849993897E-2</v>
      </c>
      <c r="K114" s="211">
        <f t="shared" si="35"/>
        <v>1.4859998627857255E-2</v>
      </c>
      <c r="L114" s="210">
        <f t="shared" si="39"/>
        <v>9.6830542221366424E-3</v>
      </c>
      <c r="M114" s="207">
        <f t="shared" si="28"/>
        <v>3.4577784198031378E-4</v>
      </c>
      <c r="N114" s="208">
        <f t="shared" si="29"/>
        <v>1.0028832064116956E-2</v>
      </c>
      <c r="O114" s="207">
        <f t="shared" si="30"/>
        <v>0</v>
      </c>
      <c r="P114" s="207">
        <f t="shared" si="31"/>
        <v>0</v>
      </c>
      <c r="Q114" s="207">
        <v>0</v>
      </c>
      <c r="R114" s="208">
        <f t="shared" si="32"/>
        <v>1.0028832064116956E-2</v>
      </c>
    </row>
    <row r="115" spans="1:18" s="226" customFormat="1" x14ac:dyDescent="0.2">
      <c r="A115" s="162">
        <v>12</v>
      </c>
      <c r="B115" s="224">
        <f t="shared" si="41"/>
        <v>44531</v>
      </c>
      <c r="C115" s="227">
        <f t="shared" si="37"/>
        <v>44566</v>
      </c>
      <c r="D115" s="227">
        <f t="shared" si="37"/>
        <v>44585</v>
      </c>
      <c r="E115" s="225" t="s">
        <v>19</v>
      </c>
      <c r="F115" s="173">
        <v>9</v>
      </c>
      <c r="G115" s="202">
        <v>42</v>
      </c>
      <c r="H115" s="214">
        <f t="shared" si="38"/>
        <v>3.0958330474702616E-4</v>
      </c>
      <c r="I115" s="214">
        <f t="shared" si="40"/>
        <v>5.1131360104153957E-4</v>
      </c>
      <c r="J115" s="215">
        <f t="shared" si="42"/>
        <v>2.1475171243744661E-2</v>
      </c>
      <c r="K115" s="216">
        <f t="shared" si="35"/>
        <v>1.3002498799375099E-2</v>
      </c>
      <c r="L115" s="217">
        <f t="shared" si="39"/>
        <v>8.4726724443695625E-3</v>
      </c>
      <c r="M115" s="207">
        <f t="shared" si="28"/>
        <v>3.0255561173277455E-4</v>
      </c>
      <c r="N115" s="208">
        <f t="shared" si="29"/>
        <v>8.7752280561023376E-3</v>
      </c>
      <c r="O115" s="207">
        <f t="shared" si="30"/>
        <v>0</v>
      </c>
      <c r="P115" s="207">
        <f t="shared" si="31"/>
        <v>0</v>
      </c>
      <c r="Q115" s="207">
        <v>0</v>
      </c>
      <c r="R115" s="208">
        <f t="shared" si="32"/>
        <v>8.7752280561023376E-3</v>
      </c>
    </row>
    <row r="116" spans="1:18" x14ac:dyDescent="0.2">
      <c r="A116" s="125">
        <v>1</v>
      </c>
      <c r="B116" s="199">
        <f t="shared" si="41"/>
        <v>44197</v>
      </c>
      <c r="C116" s="222">
        <f t="shared" si="37"/>
        <v>44230</v>
      </c>
      <c r="D116" s="222">
        <f t="shared" si="37"/>
        <v>44251</v>
      </c>
      <c r="E116" s="201" t="s">
        <v>13</v>
      </c>
      <c r="F116" s="125">
        <v>9</v>
      </c>
      <c r="G116" s="202">
        <v>973</v>
      </c>
      <c r="H116" s="203">
        <f>+$K$3</f>
        <v>3.0958330474702616E-4</v>
      </c>
      <c r="I116" s="203">
        <f t="shared" si="40"/>
        <v>5.1131360104153957E-4</v>
      </c>
      <c r="J116" s="204">
        <f t="shared" si="42"/>
        <v>0.49750813381341802</v>
      </c>
      <c r="K116" s="205">
        <f t="shared" si="35"/>
        <v>0.30122455551885646</v>
      </c>
      <c r="L116" s="206">
        <f>+J116-K116</f>
        <v>0.19628357829456156</v>
      </c>
      <c r="M116" s="207">
        <f t="shared" si="28"/>
        <v>7.0092050051426104E-3</v>
      </c>
      <c r="N116" s="208">
        <f t="shared" si="29"/>
        <v>0.20329278329970416</v>
      </c>
      <c r="O116" s="207">
        <f t="shared" si="30"/>
        <v>0</v>
      </c>
      <c r="P116" s="207">
        <f t="shared" si="31"/>
        <v>0</v>
      </c>
      <c r="Q116" s="207">
        <v>0</v>
      </c>
      <c r="R116" s="208">
        <f t="shared" si="32"/>
        <v>0.20329278329970416</v>
      </c>
    </row>
    <row r="117" spans="1:18" x14ac:dyDescent="0.2">
      <c r="A117" s="162">
        <v>2</v>
      </c>
      <c r="B117" s="199">
        <f t="shared" si="41"/>
        <v>44228</v>
      </c>
      <c r="C117" s="222">
        <f t="shared" ref="C117:D139" si="43">+C105</f>
        <v>44258</v>
      </c>
      <c r="D117" s="222">
        <f t="shared" si="43"/>
        <v>44279</v>
      </c>
      <c r="E117" s="209" t="s">
        <v>13</v>
      </c>
      <c r="F117" s="162">
        <v>9</v>
      </c>
      <c r="G117" s="202">
        <v>1338</v>
      </c>
      <c r="H117" s="203">
        <f t="shared" ref="H117:H127" si="44">+$K$3</f>
        <v>3.0958330474702616E-4</v>
      </c>
      <c r="I117" s="203">
        <f t="shared" si="40"/>
        <v>5.1131360104153957E-4</v>
      </c>
      <c r="J117" s="204">
        <f t="shared" si="42"/>
        <v>0.68413759819357989</v>
      </c>
      <c r="K117" s="205">
        <f t="shared" si="35"/>
        <v>0.414222461751521</v>
      </c>
      <c r="L117" s="206">
        <f>+J117-K117</f>
        <v>0.26991513644205889</v>
      </c>
      <c r="M117" s="207">
        <f t="shared" si="28"/>
        <v>9.6385573452012468E-3</v>
      </c>
      <c r="N117" s="208">
        <f t="shared" si="29"/>
        <v>0.27955369378726014</v>
      </c>
      <c r="O117" s="207">
        <f t="shared" si="30"/>
        <v>0</v>
      </c>
      <c r="P117" s="207">
        <f t="shared" si="31"/>
        <v>0</v>
      </c>
      <c r="Q117" s="207">
        <v>0</v>
      </c>
      <c r="R117" s="208">
        <f t="shared" si="32"/>
        <v>0.27955369378726014</v>
      </c>
    </row>
    <row r="118" spans="1:18" x14ac:dyDescent="0.2">
      <c r="A118" s="162">
        <v>3</v>
      </c>
      <c r="B118" s="199">
        <f t="shared" si="41"/>
        <v>44256</v>
      </c>
      <c r="C118" s="222">
        <f t="shared" si="43"/>
        <v>44291</v>
      </c>
      <c r="D118" s="222">
        <f t="shared" si="43"/>
        <v>44312</v>
      </c>
      <c r="E118" s="209" t="s">
        <v>13</v>
      </c>
      <c r="F118" s="162">
        <v>9</v>
      </c>
      <c r="G118" s="202">
        <v>790</v>
      </c>
      <c r="H118" s="203">
        <f t="shared" si="44"/>
        <v>3.0958330474702616E-4</v>
      </c>
      <c r="I118" s="203">
        <f t="shared" si="40"/>
        <v>5.1131360104153957E-4</v>
      </c>
      <c r="J118" s="204">
        <f t="shared" si="42"/>
        <v>0.40393774482281625</v>
      </c>
      <c r="K118" s="205">
        <f t="shared" si="35"/>
        <v>0.24457081075015066</v>
      </c>
      <c r="L118" s="206">
        <f>+J118-K118</f>
        <v>0.15936693407266558</v>
      </c>
      <c r="M118" s="207">
        <f t="shared" si="28"/>
        <v>5.6909269825926641E-3</v>
      </c>
      <c r="N118" s="208">
        <f t="shared" si="29"/>
        <v>0.16505786105525824</v>
      </c>
      <c r="O118" s="207">
        <f t="shared" si="30"/>
        <v>0</v>
      </c>
      <c r="P118" s="207">
        <f t="shared" si="31"/>
        <v>0</v>
      </c>
      <c r="Q118" s="207">
        <v>0</v>
      </c>
      <c r="R118" s="208">
        <f t="shared" si="32"/>
        <v>0.16505786105525824</v>
      </c>
    </row>
    <row r="119" spans="1:18" x14ac:dyDescent="0.2">
      <c r="A119" s="125">
        <v>4</v>
      </c>
      <c r="B119" s="199">
        <f t="shared" si="41"/>
        <v>44287</v>
      </c>
      <c r="C119" s="222">
        <f t="shared" si="43"/>
        <v>44321</v>
      </c>
      <c r="D119" s="222">
        <f t="shared" si="43"/>
        <v>44340</v>
      </c>
      <c r="E119" s="54" t="s">
        <v>13</v>
      </c>
      <c r="F119" s="162">
        <v>9</v>
      </c>
      <c r="G119" s="202">
        <v>565</v>
      </c>
      <c r="H119" s="203">
        <f t="shared" si="44"/>
        <v>3.0958330474702616E-4</v>
      </c>
      <c r="I119" s="203">
        <f t="shared" si="40"/>
        <v>5.1131360104153957E-4</v>
      </c>
      <c r="J119" s="204">
        <f t="shared" si="42"/>
        <v>0.28889218458846988</v>
      </c>
      <c r="K119" s="205">
        <f t="shared" si="35"/>
        <v>0.1749145671820698</v>
      </c>
      <c r="L119" s="206">
        <f t="shared" ref="L119:L127" si="45">+J119-K119</f>
        <v>0.11397761740640008</v>
      </c>
      <c r="M119" s="207">
        <f t="shared" si="28"/>
        <v>4.0700933483099437E-3</v>
      </c>
      <c r="N119" s="208">
        <f t="shared" si="29"/>
        <v>0.11804771075471003</v>
      </c>
      <c r="O119" s="207">
        <f t="shared" si="30"/>
        <v>0</v>
      </c>
      <c r="P119" s="207">
        <f t="shared" si="31"/>
        <v>0</v>
      </c>
      <c r="Q119" s="207">
        <v>0</v>
      </c>
      <c r="R119" s="208">
        <f t="shared" si="32"/>
        <v>0.11804771075471003</v>
      </c>
    </row>
    <row r="120" spans="1:18" x14ac:dyDescent="0.2">
      <c r="A120" s="162">
        <v>5</v>
      </c>
      <c r="B120" s="199">
        <f t="shared" si="41"/>
        <v>44317</v>
      </c>
      <c r="C120" s="222">
        <f t="shared" si="43"/>
        <v>44350</v>
      </c>
      <c r="D120" s="222">
        <f t="shared" si="43"/>
        <v>44371</v>
      </c>
      <c r="E120" s="54" t="s">
        <v>13</v>
      </c>
      <c r="F120" s="162">
        <v>9</v>
      </c>
      <c r="G120" s="202">
        <v>636</v>
      </c>
      <c r="H120" s="203">
        <f t="shared" si="44"/>
        <v>3.0958330474702616E-4</v>
      </c>
      <c r="I120" s="203">
        <f t="shared" si="40"/>
        <v>5.1131360104153957E-4</v>
      </c>
      <c r="J120" s="204">
        <f t="shared" si="42"/>
        <v>0.32519545026241914</v>
      </c>
      <c r="K120" s="205">
        <f t="shared" si="35"/>
        <v>0.19689498181910864</v>
      </c>
      <c r="L120" s="206">
        <f t="shared" si="45"/>
        <v>0.1283004684433105</v>
      </c>
      <c r="M120" s="207">
        <f t="shared" si="28"/>
        <v>4.5815564062391574E-3</v>
      </c>
      <c r="N120" s="208">
        <f t="shared" si="29"/>
        <v>0.13288202484954967</v>
      </c>
      <c r="O120" s="207">
        <f t="shared" si="30"/>
        <v>0</v>
      </c>
      <c r="P120" s="207">
        <f t="shared" si="31"/>
        <v>0</v>
      </c>
      <c r="Q120" s="207">
        <v>0</v>
      </c>
      <c r="R120" s="208">
        <f t="shared" si="32"/>
        <v>0.13288202484954967</v>
      </c>
    </row>
    <row r="121" spans="1:18" x14ac:dyDescent="0.2">
      <c r="A121" s="162">
        <v>6</v>
      </c>
      <c r="B121" s="199">
        <f t="shared" si="41"/>
        <v>44348</v>
      </c>
      <c r="C121" s="222">
        <f t="shared" si="43"/>
        <v>44383</v>
      </c>
      <c r="D121" s="222">
        <f t="shared" si="43"/>
        <v>44401</v>
      </c>
      <c r="E121" s="54" t="s">
        <v>13</v>
      </c>
      <c r="F121" s="162">
        <v>9</v>
      </c>
      <c r="G121" s="202">
        <v>845</v>
      </c>
      <c r="H121" s="203">
        <f t="shared" si="44"/>
        <v>3.0958330474702616E-4</v>
      </c>
      <c r="I121" s="203">
        <f t="shared" si="40"/>
        <v>5.1131360104153957E-4</v>
      </c>
      <c r="J121" s="204">
        <f t="shared" si="42"/>
        <v>0.43205999288010094</v>
      </c>
      <c r="K121" s="205">
        <f t="shared" si="35"/>
        <v>0.26159789251123711</v>
      </c>
      <c r="L121" s="210">
        <f t="shared" si="45"/>
        <v>0.17046210036886383</v>
      </c>
      <c r="M121" s="207">
        <f t="shared" si="28"/>
        <v>6.0871307598617738E-3</v>
      </c>
      <c r="N121" s="208">
        <f t="shared" si="29"/>
        <v>0.17654923112872561</v>
      </c>
      <c r="O121" s="207">
        <f t="shared" si="30"/>
        <v>0</v>
      </c>
      <c r="P121" s="207">
        <f t="shared" si="31"/>
        <v>0</v>
      </c>
      <c r="Q121" s="207">
        <v>0</v>
      </c>
      <c r="R121" s="208">
        <f t="shared" si="32"/>
        <v>0.17654923112872561</v>
      </c>
    </row>
    <row r="122" spans="1:18" x14ac:dyDescent="0.2">
      <c r="A122" s="125">
        <v>7</v>
      </c>
      <c r="B122" s="199">
        <f t="shared" si="41"/>
        <v>44378</v>
      </c>
      <c r="C122" s="222">
        <f t="shared" si="43"/>
        <v>44412</v>
      </c>
      <c r="D122" s="222">
        <f t="shared" si="43"/>
        <v>44432</v>
      </c>
      <c r="E122" s="54" t="s">
        <v>13</v>
      </c>
      <c r="F122" s="162">
        <v>9</v>
      </c>
      <c r="G122" s="202">
        <v>897</v>
      </c>
      <c r="H122" s="203">
        <f t="shared" si="44"/>
        <v>3.0958330474702616E-4</v>
      </c>
      <c r="I122" s="203">
        <f t="shared" si="40"/>
        <v>5.1131360104153957E-4</v>
      </c>
      <c r="J122" s="204">
        <f t="shared" si="42"/>
        <v>0.458648300134261</v>
      </c>
      <c r="K122" s="211">
        <f t="shared" si="35"/>
        <v>0.27769622435808244</v>
      </c>
      <c r="L122" s="210">
        <f t="shared" si="45"/>
        <v>0.18095207577617856</v>
      </c>
      <c r="M122" s="207">
        <f t="shared" si="28"/>
        <v>6.4617234220071141E-3</v>
      </c>
      <c r="N122" s="208">
        <f t="shared" si="29"/>
        <v>0.18741379919818568</v>
      </c>
      <c r="O122" s="207">
        <f t="shared" si="30"/>
        <v>0</v>
      </c>
      <c r="P122" s="207">
        <f t="shared" si="31"/>
        <v>0</v>
      </c>
      <c r="Q122" s="207">
        <v>0</v>
      </c>
      <c r="R122" s="208">
        <f t="shared" si="32"/>
        <v>0.18741379919818568</v>
      </c>
    </row>
    <row r="123" spans="1:18" x14ac:dyDescent="0.2">
      <c r="A123" s="162">
        <v>8</v>
      </c>
      <c r="B123" s="199">
        <f t="shared" si="41"/>
        <v>44409</v>
      </c>
      <c r="C123" s="222">
        <f t="shared" si="43"/>
        <v>44442</v>
      </c>
      <c r="D123" s="222">
        <f t="shared" si="43"/>
        <v>44463</v>
      </c>
      <c r="E123" s="54" t="s">
        <v>13</v>
      </c>
      <c r="F123" s="162">
        <v>9</v>
      </c>
      <c r="G123" s="202">
        <v>899</v>
      </c>
      <c r="H123" s="203">
        <f t="shared" si="44"/>
        <v>3.0958330474702616E-4</v>
      </c>
      <c r="I123" s="203">
        <f t="shared" si="40"/>
        <v>5.1131360104153957E-4</v>
      </c>
      <c r="J123" s="204">
        <f t="shared" si="42"/>
        <v>0.45967092733634407</v>
      </c>
      <c r="K123" s="211">
        <f t="shared" si="35"/>
        <v>0.27831539096757651</v>
      </c>
      <c r="L123" s="210">
        <f t="shared" si="45"/>
        <v>0.18135553636876756</v>
      </c>
      <c r="M123" s="207">
        <f t="shared" si="28"/>
        <v>6.4761308320896273E-3</v>
      </c>
      <c r="N123" s="208">
        <f t="shared" si="29"/>
        <v>0.18783166720085717</v>
      </c>
      <c r="O123" s="207">
        <f t="shared" si="30"/>
        <v>0</v>
      </c>
      <c r="P123" s="207">
        <f t="shared" si="31"/>
        <v>0</v>
      </c>
      <c r="Q123" s="207">
        <v>0</v>
      </c>
      <c r="R123" s="208">
        <f t="shared" si="32"/>
        <v>0.18783166720085717</v>
      </c>
    </row>
    <row r="124" spans="1:18" x14ac:dyDescent="0.2">
      <c r="A124" s="162">
        <v>9</v>
      </c>
      <c r="B124" s="199">
        <f t="shared" si="41"/>
        <v>44440</v>
      </c>
      <c r="C124" s="222">
        <f t="shared" si="43"/>
        <v>44474</v>
      </c>
      <c r="D124" s="222">
        <f t="shared" si="43"/>
        <v>44494</v>
      </c>
      <c r="E124" s="54" t="s">
        <v>13</v>
      </c>
      <c r="F124" s="162">
        <v>9</v>
      </c>
      <c r="G124" s="202">
        <v>904</v>
      </c>
      <c r="H124" s="203">
        <f t="shared" si="44"/>
        <v>3.0958330474702616E-4</v>
      </c>
      <c r="I124" s="203">
        <f t="shared" si="40"/>
        <v>5.1131360104153957E-4</v>
      </c>
      <c r="J124" s="204">
        <f t="shared" si="42"/>
        <v>0.46222749534155178</v>
      </c>
      <c r="K124" s="211">
        <f t="shared" si="35"/>
        <v>0.27986330749131166</v>
      </c>
      <c r="L124" s="210">
        <f t="shared" si="45"/>
        <v>0.18236418785024011</v>
      </c>
      <c r="M124" s="207">
        <f t="shared" si="28"/>
        <v>6.5121493572959099E-3</v>
      </c>
      <c r="N124" s="208">
        <f t="shared" si="29"/>
        <v>0.18887633720753602</v>
      </c>
      <c r="O124" s="207">
        <f t="shared" si="30"/>
        <v>0</v>
      </c>
      <c r="P124" s="207">
        <f t="shared" si="31"/>
        <v>0</v>
      </c>
      <c r="Q124" s="207">
        <v>0</v>
      </c>
      <c r="R124" s="208">
        <f t="shared" si="32"/>
        <v>0.18887633720753602</v>
      </c>
    </row>
    <row r="125" spans="1:18" x14ac:dyDescent="0.2">
      <c r="A125" s="125">
        <v>10</v>
      </c>
      <c r="B125" s="199">
        <f t="shared" si="41"/>
        <v>44470</v>
      </c>
      <c r="C125" s="222">
        <f t="shared" si="43"/>
        <v>44503</v>
      </c>
      <c r="D125" s="222">
        <f t="shared" si="43"/>
        <v>44524</v>
      </c>
      <c r="E125" s="54" t="s">
        <v>13</v>
      </c>
      <c r="F125" s="162">
        <v>9</v>
      </c>
      <c r="G125" s="202">
        <v>685</v>
      </c>
      <c r="H125" s="203">
        <f t="shared" si="44"/>
        <v>3.0958330474702616E-4</v>
      </c>
      <c r="I125" s="203">
        <f t="shared" si="40"/>
        <v>5.1131360104153957E-4</v>
      </c>
      <c r="J125" s="204">
        <f t="shared" si="42"/>
        <v>0.35024981671345462</v>
      </c>
      <c r="K125" s="211">
        <f t="shared" si="35"/>
        <v>0.21206456375171293</v>
      </c>
      <c r="L125" s="210">
        <f t="shared" si="45"/>
        <v>0.13818525296174169</v>
      </c>
      <c r="M125" s="207">
        <f t="shared" si="28"/>
        <v>4.9345379532607283E-3</v>
      </c>
      <c r="N125" s="208">
        <f t="shared" si="29"/>
        <v>0.14311979091500243</v>
      </c>
      <c r="O125" s="207">
        <f t="shared" si="30"/>
        <v>0</v>
      </c>
      <c r="P125" s="207">
        <f t="shared" si="31"/>
        <v>0</v>
      </c>
      <c r="Q125" s="207">
        <v>0</v>
      </c>
      <c r="R125" s="208">
        <f t="shared" si="32"/>
        <v>0.14311979091500243</v>
      </c>
    </row>
    <row r="126" spans="1:18" x14ac:dyDescent="0.2">
      <c r="A126" s="162">
        <v>11</v>
      </c>
      <c r="B126" s="199">
        <f t="shared" si="41"/>
        <v>44501</v>
      </c>
      <c r="C126" s="222">
        <f t="shared" si="43"/>
        <v>44533</v>
      </c>
      <c r="D126" s="222">
        <f t="shared" si="43"/>
        <v>44557</v>
      </c>
      <c r="E126" s="54" t="s">
        <v>13</v>
      </c>
      <c r="F126" s="162">
        <v>9</v>
      </c>
      <c r="G126" s="202">
        <v>718</v>
      </c>
      <c r="H126" s="203">
        <f t="shared" si="44"/>
        <v>3.0958330474702616E-4</v>
      </c>
      <c r="I126" s="203">
        <f t="shared" si="40"/>
        <v>5.1131360104153957E-4</v>
      </c>
      <c r="J126" s="204">
        <f t="shared" si="42"/>
        <v>0.36712316554782543</v>
      </c>
      <c r="K126" s="211">
        <f t="shared" si="35"/>
        <v>0.22228081280836479</v>
      </c>
      <c r="L126" s="210">
        <f t="shared" si="45"/>
        <v>0.14484235273946064</v>
      </c>
      <c r="M126" s="207">
        <f t="shared" si="28"/>
        <v>5.1722602196221943E-3</v>
      </c>
      <c r="N126" s="208">
        <f t="shared" si="29"/>
        <v>0.15001461295908283</v>
      </c>
      <c r="O126" s="207">
        <f t="shared" si="30"/>
        <v>0</v>
      </c>
      <c r="P126" s="207">
        <f t="shared" si="31"/>
        <v>0</v>
      </c>
      <c r="Q126" s="207">
        <v>0</v>
      </c>
      <c r="R126" s="208">
        <f t="shared" si="32"/>
        <v>0.15001461295908283</v>
      </c>
    </row>
    <row r="127" spans="1:18" s="226" customFormat="1" x14ac:dyDescent="0.2">
      <c r="A127" s="162">
        <v>12</v>
      </c>
      <c r="B127" s="224">
        <f t="shared" si="41"/>
        <v>44531</v>
      </c>
      <c r="C127" s="227">
        <f t="shared" si="43"/>
        <v>44566</v>
      </c>
      <c r="D127" s="227">
        <f t="shared" si="43"/>
        <v>44585</v>
      </c>
      <c r="E127" s="225" t="s">
        <v>13</v>
      </c>
      <c r="F127" s="173">
        <v>9</v>
      </c>
      <c r="G127" s="202">
        <v>770</v>
      </c>
      <c r="H127" s="214">
        <f t="shared" si="44"/>
        <v>3.0958330474702616E-4</v>
      </c>
      <c r="I127" s="214">
        <f t="shared" si="40"/>
        <v>5.1131360104153957E-4</v>
      </c>
      <c r="J127" s="215">
        <f t="shared" si="42"/>
        <v>0.39371147280198548</v>
      </c>
      <c r="K127" s="216">
        <f t="shared" si="35"/>
        <v>0.23837914465521015</v>
      </c>
      <c r="L127" s="217">
        <f t="shared" si="45"/>
        <v>0.15533232814677533</v>
      </c>
      <c r="M127" s="207">
        <f t="shared" si="28"/>
        <v>5.5468528817675337E-3</v>
      </c>
      <c r="N127" s="208">
        <f t="shared" si="29"/>
        <v>0.16087918102854287</v>
      </c>
      <c r="O127" s="207">
        <f t="shared" si="30"/>
        <v>0</v>
      </c>
      <c r="P127" s="207">
        <f t="shared" si="31"/>
        <v>0</v>
      </c>
      <c r="Q127" s="207">
        <v>0</v>
      </c>
      <c r="R127" s="208">
        <f t="shared" si="32"/>
        <v>0.16087918102854287</v>
      </c>
    </row>
    <row r="128" spans="1:18" x14ac:dyDescent="0.2">
      <c r="A128" s="125">
        <v>1</v>
      </c>
      <c r="B128" s="199">
        <f t="shared" si="41"/>
        <v>44197</v>
      </c>
      <c r="C128" s="222">
        <f t="shared" si="43"/>
        <v>44230</v>
      </c>
      <c r="D128" s="222">
        <f t="shared" si="43"/>
        <v>44251</v>
      </c>
      <c r="E128" s="201" t="s">
        <v>15</v>
      </c>
      <c r="F128" s="125">
        <v>9</v>
      </c>
      <c r="G128" s="202">
        <v>7</v>
      </c>
      <c r="H128" s="203">
        <f>+$K$3</f>
        <v>3.0958330474702616E-4</v>
      </c>
      <c r="I128" s="203">
        <f t="shared" ref="I128:I147" si="46">$J$3</f>
        <v>5.1131360104153957E-4</v>
      </c>
      <c r="J128" s="204">
        <f t="shared" si="42"/>
        <v>3.5791952072907769E-3</v>
      </c>
      <c r="K128" s="205">
        <f t="shared" si="35"/>
        <v>2.1670831332291831E-3</v>
      </c>
      <c r="L128" s="206">
        <f>+J128-K128</f>
        <v>1.4121120740615938E-3</v>
      </c>
      <c r="M128" s="207">
        <f t="shared" si="28"/>
        <v>5.0425935288795758E-5</v>
      </c>
      <c r="N128" s="208">
        <f t="shared" si="29"/>
        <v>1.4625380093503896E-3</v>
      </c>
      <c r="O128" s="207">
        <f t="shared" si="30"/>
        <v>0</v>
      </c>
      <c r="P128" s="207">
        <f t="shared" si="31"/>
        <v>0</v>
      </c>
      <c r="Q128" s="207">
        <v>0</v>
      </c>
      <c r="R128" s="208">
        <f t="shared" si="32"/>
        <v>1.4625380093503896E-3</v>
      </c>
    </row>
    <row r="129" spans="1:18" x14ac:dyDescent="0.2">
      <c r="A129" s="162">
        <v>2</v>
      </c>
      <c r="B129" s="199">
        <f t="shared" si="41"/>
        <v>44228</v>
      </c>
      <c r="C129" s="222">
        <f t="shared" si="43"/>
        <v>44258</v>
      </c>
      <c r="D129" s="222">
        <f t="shared" si="43"/>
        <v>44279</v>
      </c>
      <c r="E129" s="209" t="s">
        <v>15</v>
      </c>
      <c r="F129" s="162">
        <v>9</v>
      </c>
      <c r="G129" s="202">
        <v>8</v>
      </c>
      <c r="H129" s="203">
        <f t="shared" ref="H129:H139" si="47">+$K$3</f>
        <v>3.0958330474702616E-4</v>
      </c>
      <c r="I129" s="203">
        <f t="shared" si="46"/>
        <v>5.1131360104153957E-4</v>
      </c>
      <c r="J129" s="204">
        <f t="shared" si="42"/>
        <v>4.0905088083323165E-3</v>
      </c>
      <c r="K129" s="205">
        <f t="shared" si="35"/>
        <v>2.4766664379762093E-3</v>
      </c>
      <c r="L129" s="206">
        <f>+J129-K129</f>
        <v>1.6138423703561072E-3</v>
      </c>
      <c r="M129" s="207">
        <f t="shared" si="28"/>
        <v>5.7629640330052294E-5</v>
      </c>
      <c r="N129" s="208">
        <f t="shared" si="29"/>
        <v>1.6714720106861594E-3</v>
      </c>
      <c r="O129" s="207">
        <f t="shared" si="30"/>
        <v>0</v>
      </c>
      <c r="P129" s="207">
        <f t="shared" si="31"/>
        <v>0</v>
      </c>
      <c r="Q129" s="207">
        <v>0</v>
      </c>
      <c r="R129" s="208">
        <f t="shared" si="32"/>
        <v>1.6714720106861594E-3</v>
      </c>
    </row>
    <row r="130" spans="1:18" x14ac:dyDescent="0.2">
      <c r="A130" s="162">
        <v>3</v>
      </c>
      <c r="B130" s="199">
        <f t="shared" si="41"/>
        <v>44256</v>
      </c>
      <c r="C130" s="222">
        <f t="shared" si="43"/>
        <v>44291</v>
      </c>
      <c r="D130" s="222">
        <f t="shared" si="43"/>
        <v>44312</v>
      </c>
      <c r="E130" s="209" t="s">
        <v>15</v>
      </c>
      <c r="F130" s="162">
        <v>9</v>
      </c>
      <c r="G130" s="202">
        <v>5</v>
      </c>
      <c r="H130" s="203">
        <f t="shared" si="47"/>
        <v>3.0958330474702616E-4</v>
      </c>
      <c r="I130" s="203">
        <f t="shared" si="46"/>
        <v>5.1131360104153957E-4</v>
      </c>
      <c r="J130" s="204">
        <f t="shared" si="42"/>
        <v>2.5565680052076979E-3</v>
      </c>
      <c r="K130" s="205">
        <f t="shared" si="35"/>
        <v>1.5479165237351309E-3</v>
      </c>
      <c r="L130" s="206">
        <f>+J130-K130</f>
        <v>1.0086514814725671E-3</v>
      </c>
      <c r="M130" s="207">
        <f t="shared" si="28"/>
        <v>3.6018525206282686E-5</v>
      </c>
      <c r="N130" s="208">
        <f t="shared" si="29"/>
        <v>1.0446700066788497E-3</v>
      </c>
      <c r="O130" s="207">
        <f t="shared" si="30"/>
        <v>0</v>
      </c>
      <c r="P130" s="207">
        <f t="shared" si="31"/>
        <v>0</v>
      </c>
      <c r="Q130" s="207">
        <v>0</v>
      </c>
      <c r="R130" s="208">
        <f t="shared" si="32"/>
        <v>1.0446700066788497E-3</v>
      </c>
    </row>
    <row r="131" spans="1:18" x14ac:dyDescent="0.2">
      <c r="A131" s="125">
        <v>4</v>
      </c>
      <c r="B131" s="199">
        <f t="shared" si="41"/>
        <v>44287</v>
      </c>
      <c r="C131" s="222">
        <f t="shared" si="43"/>
        <v>44321</v>
      </c>
      <c r="D131" s="222">
        <f t="shared" si="43"/>
        <v>44340</v>
      </c>
      <c r="E131" s="209" t="s">
        <v>15</v>
      </c>
      <c r="F131" s="162">
        <v>9</v>
      </c>
      <c r="G131" s="202">
        <v>6</v>
      </c>
      <c r="H131" s="203">
        <f t="shared" si="47"/>
        <v>3.0958330474702616E-4</v>
      </c>
      <c r="I131" s="203">
        <f t="shared" si="46"/>
        <v>5.1131360104153957E-4</v>
      </c>
      <c r="J131" s="204">
        <f t="shared" si="42"/>
        <v>3.0678816062492372E-3</v>
      </c>
      <c r="K131" s="205">
        <f t="shared" si="35"/>
        <v>1.8574998284821569E-3</v>
      </c>
      <c r="L131" s="206">
        <f t="shared" ref="L131:L141" si="48">+J131-K131</f>
        <v>1.2103817777670803E-3</v>
      </c>
      <c r="M131" s="207">
        <f t="shared" si="28"/>
        <v>4.3222230247539222E-5</v>
      </c>
      <c r="N131" s="208">
        <f t="shared" si="29"/>
        <v>1.2536040080146195E-3</v>
      </c>
      <c r="O131" s="207">
        <f t="shared" si="30"/>
        <v>0</v>
      </c>
      <c r="P131" s="207">
        <f t="shared" si="31"/>
        <v>0</v>
      </c>
      <c r="Q131" s="207">
        <v>0</v>
      </c>
      <c r="R131" s="208">
        <f t="shared" si="32"/>
        <v>1.2536040080146195E-3</v>
      </c>
    </row>
    <row r="132" spans="1:18" x14ac:dyDescent="0.2">
      <c r="A132" s="162">
        <v>5</v>
      </c>
      <c r="B132" s="199">
        <f t="shared" si="41"/>
        <v>44317</v>
      </c>
      <c r="C132" s="222">
        <f t="shared" si="43"/>
        <v>44350</v>
      </c>
      <c r="D132" s="222">
        <f t="shared" si="43"/>
        <v>44371</v>
      </c>
      <c r="E132" s="54" t="s">
        <v>15</v>
      </c>
      <c r="F132" s="162">
        <v>9</v>
      </c>
      <c r="G132" s="202">
        <v>4</v>
      </c>
      <c r="H132" s="203">
        <f t="shared" si="47"/>
        <v>3.0958330474702616E-4</v>
      </c>
      <c r="I132" s="203">
        <f t="shared" si="46"/>
        <v>5.1131360104153957E-4</v>
      </c>
      <c r="J132" s="204">
        <f t="shared" si="42"/>
        <v>2.0452544041661583E-3</v>
      </c>
      <c r="K132" s="205">
        <f t="shared" si="35"/>
        <v>1.2383332189881047E-3</v>
      </c>
      <c r="L132" s="206">
        <f t="shared" si="48"/>
        <v>8.069211851780536E-4</v>
      </c>
      <c r="M132" s="207">
        <f t="shared" si="28"/>
        <v>2.8814820165026147E-5</v>
      </c>
      <c r="N132" s="208">
        <f t="shared" si="29"/>
        <v>8.3573600534307972E-4</v>
      </c>
      <c r="O132" s="207">
        <f t="shared" si="30"/>
        <v>0</v>
      </c>
      <c r="P132" s="207">
        <f t="shared" si="31"/>
        <v>0</v>
      </c>
      <c r="Q132" s="207">
        <v>0</v>
      </c>
      <c r="R132" s="208">
        <f t="shared" si="32"/>
        <v>8.3573600534307972E-4</v>
      </c>
    </row>
    <row r="133" spans="1:18" x14ac:dyDescent="0.2">
      <c r="A133" s="162">
        <v>6</v>
      </c>
      <c r="B133" s="199">
        <f t="shared" si="41"/>
        <v>44348</v>
      </c>
      <c r="C133" s="222">
        <f t="shared" si="43"/>
        <v>44383</v>
      </c>
      <c r="D133" s="222">
        <f t="shared" si="43"/>
        <v>44401</v>
      </c>
      <c r="E133" s="54" t="s">
        <v>15</v>
      </c>
      <c r="F133" s="162">
        <v>9</v>
      </c>
      <c r="G133" s="202">
        <v>13</v>
      </c>
      <c r="H133" s="203">
        <f t="shared" si="47"/>
        <v>3.0958330474702616E-4</v>
      </c>
      <c r="I133" s="203">
        <f t="shared" si="46"/>
        <v>5.1131360104153957E-4</v>
      </c>
      <c r="J133" s="204">
        <f t="shared" si="42"/>
        <v>6.647076813540014E-3</v>
      </c>
      <c r="K133" s="205">
        <f t="shared" si="35"/>
        <v>4.0245829617113404E-3</v>
      </c>
      <c r="L133" s="210">
        <f t="shared" si="48"/>
        <v>2.6224938518286736E-3</v>
      </c>
      <c r="M133" s="207">
        <f t="shared" si="28"/>
        <v>9.3648165536334987E-5</v>
      </c>
      <c r="N133" s="208">
        <f t="shared" si="29"/>
        <v>2.7161420173650087E-3</v>
      </c>
      <c r="O133" s="207">
        <f t="shared" si="30"/>
        <v>0</v>
      </c>
      <c r="P133" s="207">
        <f t="shared" si="31"/>
        <v>0</v>
      </c>
      <c r="Q133" s="207">
        <v>0</v>
      </c>
      <c r="R133" s="208">
        <f t="shared" si="32"/>
        <v>2.7161420173650087E-3</v>
      </c>
    </row>
    <row r="134" spans="1:18" x14ac:dyDescent="0.2">
      <c r="A134" s="125">
        <v>7</v>
      </c>
      <c r="B134" s="199">
        <f t="shared" si="41"/>
        <v>44378</v>
      </c>
      <c r="C134" s="222">
        <f t="shared" si="43"/>
        <v>44412</v>
      </c>
      <c r="D134" s="222">
        <f t="shared" si="43"/>
        <v>44432</v>
      </c>
      <c r="E134" s="54" t="s">
        <v>15</v>
      </c>
      <c r="F134" s="162">
        <v>9</v>
      </c>
      <c r="G134" s="202">
        <v>17</v>
      </c>
      <c r="H134" s="203">
        <f t="shared" si="47"/>
        <v>3.0958330474702616E-4</v>
      </c>
      <c r="I134" s="203">
        <f t="shared" si="46"/>
        <v>5.1131360104153957E-4</v>
      </c>
      <c r="J134" s="204">
        <f t="shared" si="42"/>
        <v>8.6923312177061719E-3</v>
      </c>
      <c r="K134" s="211">
        <f t="shared" ref="K134:K197" si="49">+$G134*H134</f>
        <v>5.2629161806994444E-3</v>
      </c>
      <c r="L134" s="210">
        <f t="shared" si="48"/>
        <v>3.4294150370067274E-3</v>
      </c>
      <c r="M134" s="207">
        <f t="shared" si="28"/>
        <v>1.2246298570136113E-4</v>
      </c>
      <c r="N134" s="208">
        <f t="shared" si="29"/>
        <v>3.5518780227080885E-3</v>
      </c>
      <c r="O134" s="207">
        <f t="shared" si="30"/>
        <v>0</v>
      </c>
      <c r="P134" s="207">
        <f t="shared" si="31"/>
        <v>0</v>
      </c>
      <c r="Q134" s="207">
        <v>0</v>
      </c>
      <c r="R134" s="208">
        <f t="shared" si="32"/>
        <v>3.5518780227080885E-3</v>
      </c>
    </row>
    <row r="135" spans="1:18" x14ac:dyDescent="0.2">
      <c r="A135" s="162">
        <v>8</v>
      </c>
      <c r="B135" s="199">
        <f t="shared" si="41"/>
        <v>44409</v>
      </c>
      <c r="C135" s="222">
        <f t="shared" si="43"/>
        <v>44442</v>
      </c>
      <c r="D135" s="222">
        <f t="shared" si="43"/>
        <v>44463</v>
      </c>
      <c r="E135" s="54" t="s">
        <v>15</v>
      </c>
      <c r="F135" s="162">
        <v>9</v>
      </c>
      <c r="G135" s="202">
        <v>17</v>
      </c>
      <c r="H135" s="203">
        <f t="shared" si="47"/>
        <v>3.0958330474702616E-4</v>
      </c>
      <c r="I135" s="203">
        <f t="shared" si="46"/>
        <v>5.1131360104153957E-4</v>
      </c>
      <c r="J135" s="204">
        <f t="shared" si="42"/>
        <v>8.6923312177061719E-3</v>
      </c>
      <c r="K135" s="211">
        <f t="shared" si="49"/>
        <v>5.2629161806994444E-3</v>
      </c>
      <c r="L135" s="210">
        <f t="shared" si="48"/>
        <v>3.4294150370067274E-3</v>
      </c>
      <c r="M135" s="207">
        <f t="shared" si="28"/>
        <v>1.2246298570136113E-4</v>
      </c>
      <c r="N135" s="208">
        <f t="shared" si="29"/>
        <v>3.5518780227080885E-3</v>
      </c>
      <c r="O135" s="207">
        <f t="shared" si="30"/>
        <v>0</v>
      </c>
      <c r="P135" s="207">
        <f t="shared" si="31"/>
        <v>0</v>
      </c>
      <c r="Q135" s="207">
        <v>0</v>
      </c>
      <c r="R135" s="208">
        <f t="shared" si="32"/>
        <v>3.5518780227080885E-3</v>
      </c>
    </row>
    <row r="136" spans="1:18" x14ac:dyDescent="0.2">
      <c r="A136" s="162">
        <v>9</v>
      </c>
      <c r="B136" s="199">
        <f t="shared" si="41"/>
        <v>44440</v>
      </c>
      <c r="C136" s="222">
        <f t="shared" si="43"/>
        <v>44474</v>
      </c>
      <c r="D136" s="222">
        <f t="shared" si="43"/>
        <v>44494</v>
      </c>
      <c r="E136" s="54" t="s">
        <v>15</v>
      </c>
      <c r="F136" s="162">
        <v>9</v>
      </c>
      <c r="G136" s="202">
        <v>16</v>
      </c>
      <c r="H136" s="203">
        <f t="shared" si="47"/>
        <v>3.0958330474702616E-4</v>
      </c>
      <c r="I136" s="203">
        <f t="shared" si="46"/>
        <v>5.1131360104153957E-4</v>
      </c>
      <c r="J136" s="204">
        <f t="shared" si="42"/>
        <v>8.181017616664633E-3</v>
      </c>
      <c r="K136" s="211">
        <f t="shared" si="49"/>
        <v>4.9533328759524186E-3</v>
      </c>
      <c r="L136" s="210">
        <f t="shared" si="48"/>
        <v>3.2276847407122144E-3</v>
      </c>
      <c r="M136" s="207">
        <f t="shared" si="28"/>
        <v>1.1525928066010459E-4</v>
      </c>
      <c r="N136" s="208">
        <f t="shared" si="29"/>
        <v>3.3429440213723189E-3</v>
      </c>
      <c r="O136" s="207">
        <f t="shared" si="30"/>
        <v>0</v>
      </c>
      <c r="P136" s="207">
        <f t="shared" si="31"/>
        <v>0</v>
      </c>
      <c r="Q136" s="207">
        <v>0</v>
      </c>
      <c r="R136" s="208">
        <f t="shared" si="32"/>
        <v>3.3429440213723189E-3</v>
      </c>
    </row>
    <row r="137" spans="1:18" x14ac:dyDescent="0.2">
      <c r="A137" s="125">
        <v>10</v>
      </c>
      <c r="B137" s="199">
        <f t="shared" si="41"/>
        <v>44470</v>
      </c>
      <c r="C137" s="222">
        <f t="shared" si="43"/>
        <v>44503</v>
      </c>
      <c r="D137" s="222">
        <f t="shared" si="43"/>
        <v>44524</v>
      </c>
      <c r="E137" s="54" t="s">
        <v>15</v>
      </c>
      <c r="F137" s="162">
        <v>9</v>
      </c>
      <c r="G137" s="202">
        <v>5</v>
      </c>
      <c r="H137" s="203">
        <f t="shared" si="47"/>
        <v>3.0958330474702616E-4</v>
      </c>
      <c r="I137" s="203">
        <f t="shared" si="46"/>
        <v>5.1131360104153957E-4</v>
      </c>
      <c r="J137" s="204">
        <f t="shared" si="42"/>
        <v>2.5565680052076979E-3</v>
      </c>
      <c r="K137" s="211">
        <f t="shared" si="49"/>
        <v>1.5479165237351309E-3</v>
      </c>
      <c r="L137" s="210">
        <f t="shared" si="48"/>
        <v>1.0086514814725671E-3</v>
      </c>
      <c r="M137" s="207">
        <f t="shared" si="28"/>
        <v>3.6018525206282686E-5</v>
      </c>
      <c r="N137" s="208">
        <f t="shared" si="29"/>
        <v>1.0446700066788497E-3</v>
      </c>
      <c r="O137" s="207">
        <f t="shared" si="30"/>
        <v>0</v>
      </c>
      <c r="P137" s="207">
        <f t="shared" si="31"/>
        <v>0</v>
      </c>
      <c r="Q137" s="207">
        <v>0</v>
      </c>
      <c r="R137" s="208">
        <f t="shared" si="32"/>
        <v>1.0446700066788497E-3</v>
      </c>
    </row>
    <row r="138" spans="1:18" x14ac:dyDescent="0.2">
      <c r="A138" s="162">
        <v>11</v>
      </c>
      <c r="B138" s="199">
        <f t="shared" si="41"/>
        <v>44501</v>
      </c>
      <c r="C138" s="222">
        <f t="shared" si="43"/>
        <v>44533</v>
      </c>
      <c r="D138" s="222">
        <f t="shared" si="43"/>
        <v>44557</v>
      </c>
      <c r="E138" s="54" t="s">
        <v>15</v>
      </c>
      <c r="F138" s="162">
        <v>9</v>
      </c>
      <c r="G138" s="202">
        <v>5</v>
      </c>
      <c r="H138" s="203">
        <f t="shared" si="47"/>
        <v>3.0958330474702616E-4</v>
      </c>
      <c r="I138" s="203">
        <f t="shared" si="46"/>
        <v>5.1131360104153957E-4</v>
      </c>
      <c r="J138" s="204">
        <f t="shared" si="42"/>
        <v>2.5565680052076979E-3</v>
      </c>
      <c r="K138" s="211">
        <f t="shared" si="49"/>
        <v>1.5479165237351309E-3</v>
      </c>
      <c r="L138" s="210">
        <f t="shared" si="48"/>
        <v>1.0086514814725671E-3</v>
      </c>
      <c r="M138" s="207">
        <f t="shared" si="28"/>
        <v>3.6018525206282686E-5</v>
      </c>
      <c r="N138" s="208">
        <f t="shared" si="29"/>
        <v>1.0446700066788497E-3</v>
      </c>
      <c r="O138" s="207">
        <f t="shared" si="30"/>
        <v>0</v>
      </c>
      <c r="P138" s="207">
        <f t="shared" si="31"/>
        <v>0</v>
      </c>
      <c r="Q138" s="207">
        <v>0</v>
      </c>
      <c r="R138" s="208">
        <f t="shared" si="32"/>
        <v>1.0446700066788497E-3</v>
      </c>
    </row>
    <row r="139" spans="1:18" s="226" customFormat="1" x14ac:dyDescent="0.2">
      <c r="A139" s="162">
        <v>12</v>
      </c>
      <c r="B139" s="224">
        <f t="shared" si="41"/>
        <v>44531</v>
      </c>
      <c r="C139" s="222">
        <f t="shared" si="43"/>
        <v>44566</v>
      </c>
      <c r="D139" s="222">
        <f t="shared" si="43"/>
        <v>44585</v>
      </c>
      <c r="E139" s="225" t="s">
        <v>15</v>
      </c>
      <c r="F139" s="173">
        <v>9</v>
      </c>
      <c r="G139" s="202">
        <v>6</v>
      </c>
      <c r="H139" s="214">
        <f t="shared" si="47"/>
        <v>3.0958330474702616E-4</v>
      </c>
      <c r="I139" s="214">
        <f t="shared" si="46"/>
        <v>5.1131360104153957E-4</v>
      </c>
      <c r="J139" s="215">
        <f t="shared" si="42"/>
        <v>3.0678816062492372E-3</v>
      </c>
      <c r="K139" s="216">
        <f t="shared" si="49"/>
        <v>1.8574998284821569E-3</v>
      </c>
      <c r="L139" s="217">
        <f t="shared" si="48"/>
        <v>1.2103817777670803E-3</v>
      </c>
      <c r="M139" s="207">
        <f t="shared" si="28"/>
        <v>4.3222230247539222E-5</v>
      </c>
      <c r="N139" s="208">
        <f t="shared" si="29"/>
        <v>1.2536040080146195E-3</v>
      </c>
      <c r="O139" s="207">
        <f t="shared" si="30"/>
        <v>0</v>
      </c>
      <c r="P139" s="207">
        <f t="shared" si="31"/>
        <v>0</v>
      </c>
      <c r="Q139" s="207">
        <v>0</v>
      </c>
      <c r="R139" s="208">
        <f t="shared" si="32"/>
        <v>1.2536040080146195E-3</v>
      </c>
    </row>
    <row r="140" spans="1:18" x14ac:dyDescent="0.2">
      <c r="A140" s="125">
        <v>1</v>
      </c>
      <c r="B140" s="199">
        <f t="shared" si="41"/>
        <v>44197</v>
      </c>
      <c r="C140" s="219">
        <f t="shared" ref="C140:D151" si="50">+C128</f>
        <v>44230</v>
      </c>
      <c r="D140" s="219">
        <f t="shared" si="50"/>
        <v>44251</v>
      </c>
      <c r="E140" s="229" t="s">
        <v>16</v>
      </c>
      <c r="F140" s="162">
        <v>9</v>
      </c>
      <c r="G140" s="202">
        <v>3</v>
      </c>
      <c r="H140" s="203">
        <f>+$K$3</f>
        <v>3.0958330474702616E-4</v>
      </c>
      <c r="I140" s="203">
        <f t="shared" si="46"/>
        <v>5.1131360104153957E-4</v>
      </c>
      <c r="J140" s="204">
        <f t="shared" si="42"/>
        <v>1.5339408031246186E-3</v>
      </c>
      <c r="K140" s="205">
        <f t="shared" si="49"/>
        <v>9.2874991424107844E-4</v>
      </c>
      <c r="L140" s="206">
        <f t="shared" si="48"/>
        <v>6.0519088888354015E-4</v>
      </c>
      <c r="M140" s="207">
        <f t="shared" si="28"/>
        <v>2.1611115123769611E-5</v>
      </c>
      <c r="N140" s="208">
        <f t="shared" si="29"/>
        <v>6.2680200400730976E-4</v>
      </c>
      <c r="O140" s="207">
        <f t="shared" si="30"/>
        <v>0</v>
      </c>
      <c r="P140" s="207">
        <f t="shared" si="31"/>
        <v>0</v>
      </c>
      <c r="Q140" s="207">
        <v>0</v>
      </c>
      <c r="R140" s="208">
        <f t="shared" si="32"/>
        <v>6.2680200400730976E-4</v>
      </c>
    </row>
    <row r="141" spans="1:18" x14ac:dyDescent="0.2">
      <c r="A141" s="162">
        <v>2</v>
      </c>
      <c r="B141" s="199">
        <f t="shared" si="41"/>
        <v>44228</v>
      </c>
      <c r="C141" s="222">
        <f t="shared" si="50"/>
        <v>44258</v>
      </c>
      <c r="D141" s="222">
        <f t="shared" si="50"/>
        <v>44279</v>
      </c>
      <c r="E141" s="54" t="s">
        <v>16</v>
      </c>
      <c r="F141" s="162">
        <v>9</v>
      </c>
      <c r="G141" s="202">
        <v>5</v>
      </c>
      <c r="H141" s="203">
        <f t="shared" ref="H141:H151" si="51">+$K$3</f>
        <v>3.0958330474702616E-4</v>
      </c>
      <c r="I141" s="203">
        <f t="shared" si="46"/>
        <v>5.1131360104153957E-4</v>
      </c>
      <c r="J141" s="204">
        <f t="shared" si="42"/>
        <v>2.5565680052076979E-3</v>
      </c>
      <c r="K141" s="205">
        <f t="shared" si="49"/>
        <v>1.5479165237351309E-3</v>
      </c>
      <c r="L141" s="206">
        <f t="shared" si="48"/>
        <v>1.0086514814725671E-3</v>
      </c>
      <c r="M141" s="207">
        <f t="shared" si="28"/>
        <v>3.6018525206282686E-5</v>
      </c>
      <c r="N141" s="208">
        <f t="shared" si="29"/>
        <v>1.0446700066788497E-3</v>
      </c>
      <c r="O141" s="207">
        <f t="shared" si="30"/>
        <v>0</v>
      </c>
      <c r="P141" s="207">
        <f t="shared" si="31"/>
        <v>0</v>
      </c>
      <c r="Q141" s="207">
        <v>0</v>
      </c>
      <c r="R141" s="208">
        <f t="shared" si="32"/>
        <v>1.0446700066788497E-3</v>
      </c>
    </row>
    <row r="142" spans="1:18" x14ac:dyDescent="0.2">
      <c r="A142" s="162">
        <v>3</v>
      </c>
      <c r="B142" s="199">
        <f t="shared" si="41"/>
        <v>44256</v>
      </c>
      <c r="C142" s="222">
        <f t="shared" si="50"/>
        <v>44291</v>
      </c>
      <c r="D142" s="222">
        <f t="shared" si="50"/>
        <v>44312</v>
      </c>
      <c r="E142" s="54" t="s">
        <v>16</v>
      </c>
      <c r="F142" s="162">
        <v>9</v>
      </c>
      <c r="G142" s="202">
        <v>4</v>
      </c>
      <c r="H142" s="203">
        <f t="shared" si="51"/>
        <v>3.0958330474702616E-4</v>
      </c>
      <c r="I142" s="203">
        <f t="shared" si="46"/>
        <v>5.1131360104153957E-4</v>
      </c>
      <c r="J142" s="204">
        <f t="shared" si="42"/>
        <v>2.0452544041661583E-3</v>
      </c>
      <c r="K142" s="205">
        <f t="shared" si="49"/>
        <v>1.2383332189881047E-3</v>
      </c>
      <c r="L142" s="206">
        <f>+J142-K142</f>
        <v>8.069211851780536E-4</v>
      </c>
      <c r="M142" s="207">
        <f t="shared" si="28"/>
        <v>2.8814820165026147E-5</v>
      </c>
      <c r="N142" s="208">
        <f t="shared" si="29"/>
        <v>8.3573600534307972E-4</v>
      </c>
      <c r="O142" s="207">
        <f t="shared" si="30"/>
        <v>0</v>
      </c>
      <c r="P142" s="207">
        <f t="shared" si="31"/>
        <v>0</v>
      </c>
      <c r="Q142" s="207">
        <v>0</v>
      </c>
      <c r="R142" s="208">
        <f t="shared" si="32"/>
        <v>8.3573600534307972E-4</v>
      </c>
    </row>
    <row r="143" spans="1:18" x14ac:dyDescent="0.2">
      <c r="A143" s="125">
        <v>4</v>
      </c>
      <c r="B143" s="199">
        <f t="shared" si="41"/>
        <v>44287</v>
      </c>
      <c r="C143" s="222">
        <f t="shared" si="50"/>
        <v>44321</v>
      </c>
      <c r="D143" s="222">
        <f t="shared" si="50"/>
        <v>44340</v>
      </c>
      <c r="E143" s="54" t="s">
        <v>16</v>
      </c>
      <c r="F143" s="162">
        <v>9</v>
      </c>
      <c r="G143" s="202">
        <v>4</v>
      </c>
      <c r="H143" s="203">
        <f t="shared" si="51"/>
        <v>3.0958330474702616E-4</v>
      </c>
      <c r="I143" s="203">
        <f t="shared" si="46"/>
        <v>5.1131360104153957E-4</v>
      </c>
      <c r="J143" s="204">
        <f t="shared" si="42"/>
        <v>2.0452544041661583E-3</v>
      </c>
      <c r="K143" s="205">
        <f t="shared" si="49"/>
        <v>1.2383332189881047E-3</v>
      </c>
      <c r="L143" s="206">
        <f t="shared" ref="L143:L153" si="52">+J143-K143</f>
        <v>8.069211851780536E-4</v>
      </c>
      <c r="M143" s="207">
        <f t="shared" si="28"/>
        <v>2.8814820165026147E-5</v>
      </c>
      <c r="N143" s="208">
        <f t="shared" si="29"/>
        <v>8.3573600534307972E-4</v>
      </c>
      <c r="O143" s="207">
        <f t="shared" si="30"/>
        <v>0</v>
      </c>
      <c r="P143" s="207">
        <f t="shared" si="31"/>
        <v>0</v>
      </c>
      <c r="Q143" s="207">
        <v>0</v>
      </c>
      <c r="R143" s="208">
        <f t="shared" si="32"/>
        <v>8.3573600534307972E-4</v>
      </c>
    </row>
    <row r="144" spans="1:18" x14ac:dyDescent="0.2">
      <c r="A144" s="162">
        <v>5</v>
      </c>
      <c r="B144" s="199">
        <f t="shared" si="41"/>
        <v>44317</v>
      </c>
      <c r="C144" s="222">
        <f t="shared" si="50"/>
        <v>44350</v>
      </c>
      <c r="D144" s="222">
        <f t="shared" si="50"/>
        <v>44371</v>
      </c>
      <c r="E144" s="54" t="s">
        <v>16</v>
      </c>
      <c r="F144" s="162">
        <v>9</v>
      </c>
      <c r="G144" s="202">
        <v>3</v>
      </c>
      <c r="H144" s="203">
        <f t="shared" si="51"/>
        <v>3.0958330474702616E-4</v>
      </c>
      <c r="I144" s="203">
        <f t="shared" si="46"/>
        <v>5.1131360104153957E-4</v>
      </c>
      <c r="J144" s="204">
        <f t="shared" si="42"/>
        <v>1.5339408031246186E-3</v>
      </c>
      <c r="K144" s="205">
        <f t="shared" si="49"/>
        <v>9.2874991424107844E-4</v>
      </c>
      <c r="L144" s="206">
        <f t="shared" si="52"/>
        <v>6.0519088888354015E-4</v>
      </c>
      <c r="M144" s="207">
        <f t="shared" si="28"/>
        <v>2.1611115123769611E-5</v>
      </c>
      <c r="N144" s="208">
        <f t="shared" si="29"/>
        <v>6.2680200400730976E-4</v>
      </c>
      <c r="O144" s="207">
        <f t="shared" si="30"/>
        <v>0</v>
      </c>
      <c r="P144" s="207">
        <f t="shared" si="31"/>
        <v>0</v>
      </c>
      <c r="Q144" s="207">
        <v>0</v>
      </c>
      <c r="R144" s="208">
        <f t="shared" si="32"/>
        <v>6.2680200400730976E-4</v>
      </c>
    </row>
    <row r="145" spans="1:19" x14ac:dyDescent="0.2">
      <c r="A145" s="162">
        <v>6</v>
      </c>
      <c r="B145" s="199">
        <f t="shared" si="41"/>
        <v>44348</v>
      </c>
      <c r="C145" s="222">
        <f t="shared" si="50"/>
        <v>44383</v>
      </c>
      <c r="D145" s="222">
        <f t="shared" si="50"/>
        <v>44401</v>
      </c>
      <c r="E145" s="54" t="s">
        <v>16</v>
      </c>
      <c r="F145" s="162">
        <v>9</v>
      </c>
      <c r="G145" s="202">
        <v>5</v>
      </c>
      <c r="H145" s="203">
        <f t="shared" si="51"/>
        <v>3.0958330474702616E-4</v>
      </c>
      <c r="I145" s="203">
        <f t="shared" si="46"/>
        <v>5.1131360104153957E-4</v>
      </c>
      <c r="J145" s="204">
        <f t="shared" si="42"/>
        <v>2.5565680052076979E-3</v>
      </c>
      <c r="K145" s="205">
        <f t="shared" si="49"/>
        <v>1.5479165237351309E-3</v>
      </c>
      <c r="L145" s="210">
        <f t="shared" si="52"/>
        <v>1.0086514814725671E-3</v>
      </c>
      <c r="M145" s="207">
        <f t="shared" si="28"/>
        <v>3.6018525206282686E-5</v>
      </c>
      <c r="N145" s="208">
        <f t="shared" si="29"/>
        <v>1.0446700066788497E-3</v>
      </c>
      <c r="O145" s="207">
        <f t="shared" si="30"/>
        <v>0</v>
      </c>
      <c r="P145" s="207">
        <f t="shared" si="31"/>
        <v>0</v>
      </c>
      <c r="Q145" s="207">
        <v>0</v>
      </c>
      <c r="R145" s="208">
        <f t="shared" si="32"/>
        <v>1.0446700066788497E-3</v>
      </c>
    </row>
    <row r="146" spans="1:19" x14ac:dyDescent="0.2">
      <c r="A146" s="125">
        <v>7</v>
      </c>
      <c r="B146" s="199">
        <f t="shared" si="41"/>
        <v>44378</v>
      </c>
      <c r="C146" s="222">
        <f t="shared" si="50"/>
        <v>44412</v>
      </c>
      <c r="D146" s="222">
        <f t="shared" si="50"/>
        <v>44432</v>
      </c>
      <c r="E146" s="54" t="s">
        <v>16</v>
      </c>
      <c r="F146" s="162">
        <v>9</v>
      </c>
      <c r="G146" s="202">
        <v>5</v>
      </c>
      <c r="H146" s="203">
        <f t="shared" si="51"/>
        <v>3.0958330474702616E-4</v>
      </c>
      <c r="I146" s="203">
        <f t="shared" si="46"/>
        <v>5.1131360104153957E-4</v>
      </c>
      <c r="J146" s="204">
        <f t="shared" si="42"/>
        <v>2.5565680052076979E-3</v>
      </c>
      <c r="K146" s="211">
        <f t="shared" si="49"/>
        <v>1.5479165237351309E-3</v>
      </c>
      <c r="L146" s="210">
        <f t="shared" si="52"/>
        <v>1.0086514814725671E-3</v>
      </c>
      <c r="M146" s="207">
        <f t="shared" si="28"/>
        <v>3.6018525206282686E-5</v>
      </c>
      <c r="N146" s="208">
        <f t="shared" si="29"/>
        <v>1.0446700066788497E-3</v>
      </c>
      <c r="O146" s="207">
        <f t="shared" si="30"/>
        <v>0</v>
      </c>
      <c r="P146" s="207">
        <f t="shared" si="31"/>
        <v>0</v>
      </c>
      <c r="Q146" s="207">
        <v>0</v>
      </c>
      <c r="R146" s="208">
        <f t="shared" si="32"/>
        <v>1.0446700066788497E-3</v>
      </c>
    </row>
    <row r="147" spans="1:19" x14ac:dyDescent="0.2">
      <c r="A147" s="162">
        <v>8</v>
      </c>
      <c r="B147" s="199">
        <f t="shared" si="41"/>
        <v>44409</v>
      </c>
      <c r="C147" s="222">
        <f t="shared" si="50"/>
        <v>44442</v>
      </c>
      <c r="D147" s="222">
        <f t="shared" si="50"/>
        <v>44463</v>
      </c>
      <c r="E147" s="54" t="s">
        <v>16</v>
      </c>
      <c r="F147" s="162">
        <v>9</v>
      </c>
      <c r="G147" s="202">
        <v>4</v>
      </c>
      <c r="H147" s="203">
        <f t="shared" si="51"/>
        <v>3.0958330474702616E-4</v>
      </c>
      <c r="I147" s="203">
        <f t="shared" si="46"/>
        <v>5.1131360104153957E-4</v>
      </c>
      <c r="J147" s="204">
        <f t="shared" si="42"/>
        <v>2.0452544041661583E-3</v>
      </c>
      <c r="K147" s="211">
        <f t="shared" si="49"/>
        <v>1.2383332189881047E-3</v>
      </c>
      <c r="L147" s="210">
        <f t="shared" si="52"/>
        <v>8.069211851780536E-4</v>
      </c>
      <c r="M147" s="207">
        <f t="shared" si="28"/>
        <v>2.8814820165026147E-5</v>
      </c>
      <c r="N147" s="208">
        <f t="shared" si="29"/>
        <v>8.3573600534307972E-4</v>
      </c>
      <c r="O147" s="207">
        <f t="shared" si="30"/>
        <v>0</v>
      </c>
      <c r="P147" s="207">
        <f t="shared" si="31"/>
        <v>0</v>
      </c>
      <c r="Q147" s="207">
        <v>0</v>
      </c>
      <c r="R147" s="208">
        <f t="shared" si="32"/>
        <v>8.3573600534307972E-4</v>
      </c>
    </row>
    <row r="148" spans="1:19" x14ac:dyDescent="0.2">
      <c r="A148" s="162">
        <v>9</v>
      </c>
      <c r="B148" s="199">
        <f t="shared" si="41"/>
        <v>44440</v>
      </c>
      <c r="C148" s="222">
        <f t="shared" si="50"/>
        <v>44474</v>
      </c>
      <c r="D148" s="222">
        <f t="shared" si="50"/>
        <v>44494</v>
      </c>
      <c r="E148" s="54" t="s">
        <v>16</v>
      </c>
      <c r="F148" s="162">
        <v>9</v>
      </c>
      <c r="G148" s="202">
        <v>4</v>
      </c>
      <c r="H148" s="203">
        <f t="shared" si="51"/>
        <v>3.0958330474702616E-4</v>
      </c>
      <c r="I148" s="203">
        <f t="shared" ref="I148:I179" si="53">$J$3</f>
        <v>5.1131360104153957E-4</v>
      </c>
      <c r="J148" s="204">
        <f t="shared" si="42"/>
        <v>2.0452544041661583E-3</v>
      </c>
      <c r="K148" s="211">
        <f t="shared" si="49"/>
        <v>1.2383332189881047E-3</v>
      </c>
      <c r="L148" s="210">
        <f t="shared" si="52"/>
        <v>8.069211851780536E-4</v>
      </c>
      <c r="M148" s="207">
        <f t="shared" si="28"/>
        <v>2.8814820165026147E-5</v>
      </c>
      <c r="N148" s="208">
        <f t="shared" si="29"/>
        <v>8.3573600534307972E-4</v>
      </c>
      <c r="O148" s="207">
        <f t="shared" si="30"/>
        <v>0</v>
      </c>
      <c r="P148" s="207">
        <f t="shared" si="31"/>
        <v>0</v>
      </c>
      <c r="Q148" s="207">
        <v>0</v>
      </c>
      <c r="R148" s="208">
        <f t="shared" si="32"/>
        <v>8.3573600534307972E-4</v>
      </c>
    </row>
    <row r="149" spans="1:19" x14ac:dyDescent="0.2">
      <c r="A149" s="125">
        <v>10</v>
      </c>
      <c r="B149" s="199">
        <f t="shared" ref="B149:B211" si="54">DATE($R$1,A149,1)</f>
        <v>44470</v>
      </c>
      <c r="C149" s="222">
        <f t="shared" si="50"/>
        <v>44503</v>
      </c>
      <c r="D149" s="222">
        <f t="shared" si="50"/>
        <v>44524</v>
      </c>
      <c r="E149" s="54" t="s">
        <v>16</v>
      </c>
      <c r="F149" s="162">
        <v>9</v>
      </c>
      <c r="G149" s="202">
        <v>4</v>
      </c>
      <c r="H149" s="203">
        <f t="shared" si="51"/>
        <v>3.0958330474702616E-4</v>
      </c>
      <c r="I149" s="203">
        <f t="shared" si="53"/>
        <v>5.1131360104153957E-4</v>
      </c>
      <c r="J149" s="204">
        <f t="shared" ref="J149:J211" si="55">+$G149*I149</f>
        <v>2.0452544041661583E-3</v>
      </c>
      <c r="K149" s="211">
        <f t="shared" si="49"/>
        <v>1.2383332189881047E-3</v>
      </c>
      <c r="L149" s="210">
        <f t="shared" si="52"/>
        <v>8.069211851780536E-4</v>
      </c>
      <c r="M149" s="207">
        <f t="shared" ref="M149:M211" si="56">G149/$G$212*$M$14</f>
        <v>2.8814820165026147E-5</v>
      </c>
      <c r="N149" s="208">
        <f t="shared" ref="N149:N211" si="57">SUM(L149:M149)</f>
        <v>8.3573600534307972E-4</v>
      </c>
      <c r="O149" s="207">
        <f t="shared" ref="O149:O211" si="58">+$P$3</f>
        <v>0</v>
      </c>
      <c r="P149" s="207">
        <f t="shared" ref="P149:P211" si="59">+G149*O149</f>
        <v>0</v>
      </c>
      <c r="Q149" s="207">
        <v>0</v>
      </c>
      <c r="R149" s="208">
        <f t="shared" ref="R149:R211" si="60">+N149-Q149</f>
        <v>8.3573600534307972E-4</v>
      </c>
    </row>
    <row r="150" spans="1:19" x14ac:dyDescent="0.2">
      <c r="A150" s="162">
        <v>11</v>
      </c>
      <c r="B150" s="199">
        <f t="shared" si="54"/>
        <v>44501</v>
      </c>
      <c r="C150" s="222">
        <f t="shared" si="50"/>
        <v>44533</v>
      </c>
      <c r="D150" s="222">
        <f t="shared" si="50"/>
        <v>44557</v>
      </c>
      <c r="E150" s="54" t="s">
        <v>16</v>
      </c>
      <c r="F150" s="162">
        <v>9</v>
      </c>
      <c r="G150" s="202">
        <v>4</v>
      </c>
      <c r="H150" s="203">
        <f t="shared" si="51"/>
        <v>3.0958330474702616E-4</v>
      </c>
      <c r="I150" s="203">
        <f t="shared" si="53"/>
        <v>5.1131360104153957E-4</v>
      </c>
      <c r="J150" s="204">
        <f t="shared" si="55"/>
        <v>2.0452544041661583E-3</v>
      </c>
      <c r="K150" s="211">
        <f t="shared" si="49"/>
        <v>1.2383332189881047E-3</v>
      </c>
      <c r="L150" s="210">
        <f t="shared" si="52"/>
        <v>8.069211851780536E-4</v>
      </c>
      <c r="M150" s="207">
        <f t="shared" si="56"/>
        <v>2.8814820165026147E-5</v>
      </c>
      <c r="N150" s="208">
        <f t="shared" si="57"/>
        <v>8.3573600534307972E-4</v>
      </c>
      <c r="O150" s="207">
        <f t="shared" si="58"/>
        <v>0</v>
      </c>
      <c r="P150" s="207">
        <f t="shared" si="59"/>
        <v>0</v>
      </c>
      <c r="Q150" s="207">
        <v>0</v>
      </c>
      <c r="R150" s="208">
        <f t="shared" si="60"/>
        <v>8.3573600534307972E-4</v>
      </c>
    </row>
    <row r="151" spans="1:19" s="226" customFormat="1" x14ac:dyDescent="0.2">
      <c r="A151" s="162">
        <v>12</v>
      </c>
      <c r="B151" s="224">
        <f t="shared" si="54"/>
        <v>44531</v>
      </c>
      <c r="C151" s="222">
        <f t="shared" si="50"/>
        <v>44566</v>
      </c>
      <c r="D151" s="222">
        <f t="shared" si="50"/>
        <v>44585</v>
      </c>
      <c r="E151" s="225" t="s">
        <v>16</v>
      </c>
      <c r="F151" s="173">
        <v>9</v>
      </c>
      <c r="G151" s="202">
        <v>1</v>
      </c>
      <c r="H151" s="214">
        <f t="shared" si="51"/>
        <v>3.0958330474702616E-4</v>
      </c>
      <c r="I151" s="214">
        <f t="shared" si="53"/>
        <v>5.1131360104153957E-4</v>
      </c>
      <c r="J151" s="215">
        <f t="shared" si="55"/>
        <v>5.1131360104153957E-4</v>
      </c>
      <c r="K151" s="216">
        <f t="shared" si="49"/>
        <v>3.0958330474702616E-4</v>
      </c>
      <c r="L151" s="217">
        <f t="shared" si="52"/>
        <v>2.017302962945134E-4</v>
      </c>
      <c r="M151" s="207">
        <f t="shared" si="56"/>
        <v>7.2037050412565368E-6</v>
      </c>
      <c r="N151" s="208">
        <f t="shared" si="57"/>
        <v>2.0893400133576993E-4</v>
      </c>
      <c r="O151" s="207">
        <f t="shared" si="58"/>
        <v>0</v>
      </c>
      <c r="P151" s="207">
        <f t="shared" si="59"/>
        <v>0</v>
      </c>
      <c r="Q151" s="207">
        <v>0</v>
      </c>
      <c r="R151" s="208">
        <f t="shared" si="60"/>
        <v>2.0893400133576993E-4</v>
      </c>
    </row>
    <row r="152" spans="1:19" x14ac:dyDescent="0.2">
      <c r="A152" s="125">
        <v>1</v>
      </c>
      <c r="B152" s="199">
        <f t="shared" si="54"/>
        <v>44197</v>
      </c>
      <c r="C152" s="219">
        <f t="shared" ref="C152:D171" si="61">+C140</f>
        <v>44230</v>
      </c>
      <c r="D152" s="219">
        <f t="shared" si="61"/>
        <v>44251</v>
      </c>
      <c r="E152" s="229" t="s">
        <v>55</v>
      </c>
      <c r="F152" s="125">
        <v>9</v>
      </c>
      <c r="G152" s="202">
        <v>104</v>
      </c>
      <c r="H152" s="203">
        <f>+$K$3</f>
        <v>3.0958330474702616E-4</v>
      </c>
      <c r="I152" s="203">
        <f t="shared" si="53"/>
        <v>5.1131360104153957E-4</v>
      </c>
      <c r="J152" s="204">
        <f t="shared" si="55"/>
        <v>5.3176614508320112E-2</v>
      </c>
      <c r="K152" s="205">
        <f t="shared" si="49"/>
        <v>3.2196663693690723E-2</v>
      </c>
      <c r="L152" s="206">
        <f t="shared" si="52"/>
        <v>2.0979950814629389E-2</v>
      </c>
      <c r="M152" s="207">
        <f t="shared" si="56"/>
        <v>7.491853242906799E-4</v>
      </c>
      <c r="N152" s="208">
        <f t="shared" si="57"/>
        <v>2.1729136138920069E-2</v>
      </c>
      <c r="O152" s="207">
        <f t="shared" si="58"/>
        <v>0</v>
      </c>
      <c r="P152" s="207">
        <f t="shared" si="59"/>
        <v>0</v>
      </c>
      <c r="Q152" s="207">
        <v>0</v>
      </c>
      <c r="R152" s="208">
        <f t="shared" si="60"/>
        <v>2.1729136138920069E-2</v>
      </c>
    </row>
    <row r="153" spans="1:19" x14ac:dyDescent="0.2">
      <c r="A153" s="162">
        <v>2</v>
      </c>
      <c r="B153" s="199">
        <f t="shared" si="54"/>
        <v>44228</v>
      </c>
      <c r="C153" s="222">
        <f t="shared" si="61"/>
        <v>44258</v>
      </c>
      <c r="D153" s="222">
        <f t="shared" si="61"/>
        <v>44279</v>
      </c>
      <c r="E153" s="230" t="s">
        <v>55</v>
      </c>
      <c r="F153" s="162">
        <v>9</v>
      </c>
      <c r="G153" s="202">
        <v>133</v>
      </c>
      <c r="H153" s="203">
        <f t="shared" ref="H153:H163" si="62">+$K$3</f>
        <v>3.0958330474702616E-4</v>
      </c>
      <c r="I153" s="203">
        <f t="shared" si="53"/>
        <v>5.1131360104153957E-4</v>
      </c>
      <c r="J153" s="204">
        <f t="shared" si="55"/>
        <v>6.8004708938524769E-2</v>
      </c>
      <c r="K153" s="205">
        <f t="shared" si="49"/>
        <v>4.1174579531354477E-2</v>
      </c>
      <c r="L153" s="206">
        <f t="shared" si="52"/>
        <v>2.6830129407170292E-2</v>
      </c>
      <c r="M153" s="207">
        <f t="shared" si="56"/>
        <v>9.5809277048711943E-4</v>
      </c>
      <c r="N153" s="208">
        <f t="shared" si="57"/>
        <v>2.7788222177657411E-2</v>
      </c>
      <c r="O153" s="207">
        <f t="shared" si="58"/>
        <v>0</v>
      </c>
      <c r="P153" s="207">
        <f t="shared" si="59"/>
        <v>0</v>
      </c>
      <c r="Q153" s="207">
        <v>0</v>
      </c>
      <c r="R153" s="208">
        <f t="shared" si="60"/>
        <v>2.7788222177657411E-2</v>
      </c>
    </row>
    <row r="154" spans="1:19" x14ac:dyDescent="0.2">
      <c r="A154" s="162">
        <v>3</v>
      </c>
      <c r="B154" s="199">
        <f t="shared" si="54"/>
        <v>44256</v>
      </c>
      <c r="C154" s="222">
        <f t="shared" si="61"/>
        <v>44291</v>
      </c>
      <c r="D154" s="222">
        <f t="shared" si="61"/>
        <v>44312</v>
      </c>
      <c r="E154" s="230" t="s">
        <v>55</v>
      </c>
      <c r="F154" s="162">
        <v>9</v>
      </c>
      <c r="G154" s="202">
        <v>87</v>
      </c>
      <c r="H154" s="203">
        <f t="shared" si="62"/>
        <v>3.0958330474702616E-4</v>
      </c>
      <c r="I154" s="203">
        <f t="shared" si="53"/>
        <v>5.1131360104153957E-4</v>
      </c>
      <c r="J154" s="204">
        <f t="shared" si="55"/>
        <v>4.4484283290613942E-2</v>
      </c>
      <c r="K154" s="205">
        <f t="shared" si="49"/>
        <v>2.6933747512991275E-2</v>
      </c>
      <c r="L154" s="206">
        <f>+J154-K154</f>
        <v>1.7550535777622667E-2</v>
      </c>
      <c r="M154" s="207">
        <f t="shared" si="56"/>
        <v>6.2672233858931882E-4</v>
      </c>
      <c r="N154" s="208">
        <f t="shared" si="57"/>
        <v>1.8177258116211986E-2</v>
      </c>
      <c r="O154" s="207">
        <f t="shared" si="58"/>
        <v>0</v>
      </c>
      <c r="P154" s="207">
        <f t="shared" si="59"/>
        <v>0</v>
      </c>
      <c r="Q154" s="207">
        <v>0</v>
      </c>
      <c r="R154" s="208">
        <f t="shared" si="60"/>
        <v>1.8177258116211986E-2</v>
      </c>
    </row>
    <row r="155" spans="1:19" x14ac:dyDescent="0.2">
      <c r="A155" s="125">
        <v>4</v>
      </c>
      <c r="B155" s="199">
        <f t="shared" si="54"/>
        <v>44287</v>
      </c>
      <c r="C155" s="222">
        <f t="shared" si="61"/>
        <v>44321</v>
      </c>
      <c r="D155" s="222">
        <f t="shared" si="61"/>
        <v>44340</v>
      </c>
      <c r="E155" s="230" t="s">
        <v>55</v>
      </c>
      <c r="F155" s="162">
        <v>9</v>
      </c>
      <c r="G155" s="202">
        <v>77</v>
      </c>
      <c r="H155" s="203">
        <f t="shared" si="62"/>
        <v>3.0958330474702616E-4</v>
      </c>
      <c r="I155" s="203">
        <f t="shared" si="53"/>
        <v>5.1131360104153957E-4</v>
      </c>
      <c r="J155" s="204">
        <f t="shared" si="55"/>
        <v>3.9371147280198547E-2</v>
      </c>
      <c r="K155" s="205">
        <f t="shared" si="49"/>
        <v>2.3837914465521016E-2</v>
      </c>
      <c r="L155" s="206">
        <f t="shared" ref="L155:L165" si="63">+J155-K155</f>
        <v>1.5533232814677531E-2</v>
      </c>
      <c r="M155" s="207">
        <f t="shared" si="56"/>
        <v>5.5468528817675337E-4</v>
      </c>
      <c r="N155" s="208">
        <f t="shared" si="57"/>
        <v>1.6087918102854284E-2</v>
      </c>
      <c r="O155" s="207">
        <f t="shared" si="58"/>
        <v>0</v>
      </c>
      <c r="P155" s="207">
        <f t="shared" si="59"/>
        <v>0</v>
      </c>
      <c r="Q155" s="207">
        <v>0</v>
      </c>
      <c r="R155" s="208">
        <f t="shared" si="60"/>
        <v>1.6087918102854284E-2</v>
      </c>
    </row>
    <row r="156" spans="1:19" x14ac:dyDescent="0.2">
      <c r="A156" s="162">
        <v>5</v>
      </c>
      <c r="B156" s="199">
        <f t="shared" si="54"/>
        <v>44317</v>
      </c>
      <c r="C156" s="222">
        <f t="shared" si="61"/>
        <v>44350</v>
      </c>
      <c r="D156" s="222">
        <f t="shared" si="61"/>
        <v>44371</v>
      </c>
      <c r="E156" s="230" t="s">
        <v>55</v>
      </c>
      <c r="F156" s="162">
        <v>9</v>
      </c>
      <c r="G156" s="202">
        <v>104</v>
      </c>
      <c r="H156" s="203">
        <f t="shared" si="62"/>
        <v>3.0958330474702616E-4</v>
      </c>
      <c r="I156" s="203">
        <f t="shared" si="53"/>
        <v>5.1131360104153957E-4</v>
      </c>
      <c r="J156" s="204">
        <f t="shared" si="55"/>
        <v>5.3176614508320112E-2</v>
      </c>
      <c r="K156" s="205">
        <f t="shared" si="49"/>
        <v>3.2196663693690723E-2</v>
      </c>
      <c r="L156" s="206">
        <f t="shared" si="63"/>
        <v>2.0979950814629389E-2</v>
      </c>
      <c r="M156" s="207">
        <f t="shared" si="56"/>
        <v>7.491853242906799E-4</v>
      </c>
      <c r="N156" s="208">
        <f t="shared" si="57"/>
        <v>2.1729136138920069E-2</v>
      </c>
      <c r="O156" s="207">
        <f t="shared" si="58"/>
        <v>0</v>
      </c>
      <c r="P156" s="207">
        <f t="shared" si="59"/>
        <v>0</v>
      </c>
      <c r="Q156" s="207">
        <v>0</v>
      </c>
      <c r="R156" s="208">
        <f t="shared" si="60"/>
        <v>2.1729136138920069E-2</v>
      </c>
    </row>
    <row r="157" spans="1:19" x14ac:dyDescent="0.2">
      <c r="A157" s="162">
        <v>6</v>
      </c>
      <c r="B157" s="199">
        <f t="shared" si="54"/>
        <v>44348</v>
      </c>
      <c r="C157" s="222">
        <f t="shared" si="61"/>
        <v>44383</v>
      </c>
      <c r="D157" s="222">
        <f t="shared" si="61"/>
        <v>44401</v>
      </c>
      <c r="E157" s="230" t="s">
        <v>55</v>
      </c>
      <c r="F157" s="162">
        <v>9</v>
      </c>
      <c r="G157" s="202">
        <v>144</v>
      </c>
      <c r="H157" s="203">
        <f t="shared" si="62"/>
        <v>3.0958330474702616E-4</v>
      </c>
      <c r="I157" s="203">
        <f t="shared" si="53"/>
        <v>5.1131360104153957E-4</v>
      </c>
      <c r="J157" s="204">
        <f t="shared" si="55"/>
        <v>7.3629158549981699E-2</v>
      </c>
      <c r="K157" s="205">
        <f t="shared" si="49"/>
        <v>4.4579995883571769E-2</v>
      </c>
      <c r="L157" s="210">
        <f t="shared" si="63"/>
        <v>2.9049162666409931E-2</v>
      </c>
      <c r="M157" s="207">
        <f t="shared" si="56"/>
        <v>1.0373335259409415E-3</v>
      </c>
      <c r="N157" s="208">
        <f t="shared" si="57"/>
        <v>3.0086496192350872E-2</v>
      </c>
      <c r="O157" s="207">
        <f t="shared" si="58"/>
        <v>0</v>
      </c>
      <c r="P157" s="207">
        <f t="shared" si="59"/>
        <v>0</v>
      </c>
      <c r="Q157" s="207">
        <v>0</v>
      </c>
      <c r="R157" s="208">
        <f t="shared" si="60"/>
        <v>3.0086496192350872E-2</v>
      </c>
    </row>
    <row r="158" spans="1:19" x14ac:dyDescent="0.2">
      <c r="A158" s="125">
        <v>7</v>
      </c>
      <c r="B158" s="199">
        <f t="shared" si="54"/>
        <v>44378</v>
      </c>
      <c r="C158" s="222">
        <f t="shared" si="61"/>
        <v>44412</v>
      </c>
      <c r="D158" s="222">
        <f t="shared" si="61"/>
        <v>44432</v>
      </c>
      <c r="E158" s="230" t="s">
        <v>55</v>
      </c>
      <c r="F158" s="162">
        <v>9</v>
      </c>
      <c r="G158" s="202">
        <v>161</v>
      </c>
      <c r="H158" s="203">
        <f t="shared" si="62"/>
        <v>3.0958330474702616E-4</v>
      </c>
      <c r="I158" s="203">
        <f t="shared" si="53"/>
        <v>5.1131360104153957E-4</v>
      </c>
      <c r="J158" s="204">
        <f t="shared" si="55"/>
        <v>8.2321489767687869E-2</v>
      </c>
      <c r="K158" s="211">
        <f t="shared" si="49"/>
        <v>4.984291206427121E-2</v>
      </c>
      <c r="L158" s="210">
        <f t="shared" si="63"/>
        <v>3.247857770341666E-2</v>
      </c>
      <c r="M158" s="207">
        <f t="shared" si="56"/>
        <v>1.1597965116423024E-3</v>
      </c>
      <c r="N158" s="208">
        <f t="shared" si="57"/>
        <v>3.3638374215058962E-2</v>
      </c>
      <c r="O158" s="207">
        <f t="shared" si="58"/>
        <v>0</v>
      </c>
      <c r="P158" s="207">
        <f t="shared" si="59"/>
        <v>0</v>
      </c>
      <c r="Q158" s="207">
        <v>0</v>
      </c>
      <c r="R158" s="208">
        <f t="shared" si="60"/>
        <v>3.3638374215058962E-2</v>
      </c>
    </row>
    <row r="159" spans="1:19" x14ac:dyDescent="0.2">
      <c r="A159" s="162">
        <v>8</v>
      </c>
      <c r="B159" s="199">
        <f t="shared" si="54"/>
        <v>44409</v>
      </c>
      <c r="C159" s="222">
        <f t="shared" si="61"/>
        <v>44442</v>
      </c>
      <c r="D159" s="222">
        <f t="shared" si="61"/>
        <v>44463</v>
      </c>
      <c r="E159" s="230" t="s">
        <v>55</v>
      </c>
      <c r="F159" s="125">
        <v>9</v>
      </c>
      <c r="G159" s="202">
        <v>163</v>
      </c>
      <c r="H159" s="203">
        <f t="shared" si="62"/>
        <v>3.0958330474702616E-4</v>
      </c>
      <c r="I159" s="203">
        <f t="shared" si="53"/>
        <v>5.1131360104153957E-4</v>
      </c>
      <c r="J159" s="204">
        <f t="shared" si="55"/>
        <v>8.3344116969770954E-2</v>
      </c>
      <c r="K159" s="211">
        <f t="shared" si="49"/>
        <v>5.0462078673765266E-2</v>
      </c>
      <c r="L159" s="210">
        <f t="shared" si="63"/>
        <v>3.2882038296005688E-2</v>
      </c>
      <c r="M159" s="207">
        <f t="shared" si="56"/>
        <v>1.1742039217248156E-3</v>
      </c>
      <c r="N159" s="208">
        <f t="shared" si="57"/>
        <v>3.4056242217730501E-2</v>
      </c>
      <c r="O159" s="207">
        <f t="shared" si="58"/>
        <v>0</v>
      </c>
      <c r="P159" s="207">
        <f t="shared" si="59"/>
        <v>0</v>
      </c>
      <c r="Q159" s="207">
        <v>0</v>
      </c>
      <c r="R159" s="208">
        <f t="shared" si="60"/>
        <v>3.4056242217730501E-2</v>
      </c>
      <c r="S159" s="52"/>
    </row>
    <row r="160" spans="1:19" x14ac:dyDescent="0.2">
      <c r="A160" s="162">
        <v>9</v>
      </c>
      <c r="B160" s="199">
        <f t="shared" si="54"/>
        <v>44440</v>
      </c>
      <c r="C160" s="222">
        <f t="shared" si="61"/>
        <v>44474</v>
      </c>
      <c r="D160" s="222">
        <f t="shared" si="61"/>
        <v>44494</v>
      </c>
      <c r="E160" s="230" t="s">
        <v>55</v>
      </c>
      <c r="F160" s="125">
        <v>9</v>
      </c>
      <c r="G160" s="202">
        <v>153</v>
      </c>
      <c r="H160" s="203">
        <f t="shared" si="62"/>
        <v>3.0958330474702616E-4</v>
      </c>
      <c r="I160" s="203">
        <f t="shared" si="53"/>
        <v>5.1131360104153957E-4</v>
      </c>
      <c r="J160" s="204">
        <f t="shared" si="55"/>
        <v>7.8230980959355559E-2</v>
      </c>
      <c r="K160" s="211">
        <f t="shared" si="49"/>
        <v>4.7366245626295003E-2</v>
      </c>
      <c r="L160" s="210">
        <f t="shared" si="63"/>
        <v>3.0864735333060556E-2</v>
      </c>
      <c r="M160" s="207">
        <f t="shared" si="56"/>
        <v>1.1021668713122501E-3</v>
      </c>
      <c r="N160" s="208">
        <f t="shared" si="57"/>
        <v>3.1966902204372809E-2</v>
      </c>
      <c r="O160" s="207">
        <f t="shared" si="58"/>
        <v>0</v>
      </c>
      <c r="P160" s="207">
        <f t="shared" si="59"/>
        <v>0</v>
      </c>
      <c r="Q160" s="207">
        <v>0</v>
      </c>
      <c r="R160" s="208">
        <f t="shared" si="60"/>
        <v>3.1966902204372809E-2</v>
      </c>
    </row>
    <row r="161" spans="1:19" x14ac:dyDescent="0.2">
      <c r="A161" s="125">
        <v>10</v>
      </c>
      <c r="B161" s="199">
        <f t="shared" si="54"/>
        <v>44470</v>
      </c>
      <c r="C161" s="222">
        <f t="shared" si="61"/>
        <v>44503</v>
      </c>
      <c r="D161" s="222">
        <f t="shared" si="61"/>
        <v>44524</v>
      </c>
      <c r="E161" s="230" t="s">
        <v>55</v>
      </c>
      <c r="F161" s="125">
        <v>9</v>
      </c>
      <c r="G161" s="202">
        <v>117</v>
      </c>
      <c r="H161" s="203">
        <f t="shared" si="62"/>
        <v>3.0958330474702616E-4</v>
      </c>
      <c r="I161" s="203">
        <f t="shared" si="53"/>
        <v>5.1131360104153957E-4</v>
      </c>
      <c r="J161" s="204">
        <f t="shared" si="55"/>
        <v>5.9823691321860127E-2</v>
      </c>
      <c r="K161" s="211">
        <f t="shared" si="49"/>
        <v>3.6221246655402065E-2</v>
      </c>
      <c r="L161" s="210">
        <f t="shared" si="63"/>
        <v>2.3602444666458063E-2</v>
      </c>
      <c r="M161" s="207">
        <f t="shared" si="56"/>
        <v>8.4283348982701486E-4</v>
      </c>
      <c r="N161" s="208">
        <f t="shared" si="57"/>
        <v>2.4445278156285076E-2</v>
      </c>
      <c r="O161" s="207">
        <f t="shared" si="58"/>
        <v>0</v>
      </c>
      <c r="P161" s="207">
        <f t="shared" si="59"/>
        <v>0</v>
      </c>
      <c r="Q161" s="207">
        <v>0</v>
      </c>
      <c r="R161" s="208">
        <f t="shared" si="60"/>
        <v>2.4445278156285076E-2</v>
      </c>
    </row>
    <row r="162" spans="1:19" x14ac:dyDescent="0.2">
      <c r="A162" s="162">
        <v>11</v>
      </c>
      <c r="B162" s="199">
        <f t="shared" si="54"/>
        <v>44501</v>
      </c>
      <c r="C162" s="222">
        <f t="shared" si="61"/>
        <v>44533</v>
      </c>
      <c r="D162" s="222">
        <f t="shared" si="61"/>
        <v>44557</v>
      </c>
      <c r="E162" s="230" t="s">
        <v>55</v>
      </c>
      <c r="F162" s="125">
        <v>9</v>
      </c>
      <c r="G162" s="202">
        <v>91</v>
      </c>
      <c r="H162" s="203">
        <f t="shared" si="62"/>
        <v>3.0958330474702616E-4</v>
      </c>
      <c r="I162" s="203">
        <f t="shared" si="53"/>
        <v>5.1131360104153957E-4</v>
      </c>
      <c r="J162" s="204">
        <f t="shared" si="55"/>
        <v>4.6529537694780097E-2</v>
      </c>
      <c r="K162" s="211">
        <f t="shared" si="49"/>
        <v>2.8172080731979382E-2</v>
      </c>
      <c r="L162" s="210">
        <f t="shared" si="63"/>
        <v>1.8357456962800715E-2</v>
      </c>
      <c r="M162" s="207">
        <f t="shared" si="56"/>
        <v>6.5553715875434494E-4</v>
      </c>
      <c r="N162" s="208">
        <f t="shared" si="57"/>
        <v>1.9012994121555059E-2</v>
      </c>
      <c r="O162" s="207">
        <f t="shared" si="58"/>
        <v>0</v>
      </c>
      <c r="P162" s="207">
        <f t="shared" si="59"/>
        <v>0</v>
      </c>
      <c r="Q162" s="207">
        <v>0</v>
      </c>
      <c r="R162" s="208">
        <f t="shared" si="60"/>
        <v>1.9012994121555059E-2</v>
      </c>
    </row>
    <row r="163" spans="1:19" s="226" customFormat="1" x14ac:dyDescent="0.2">
      <c r="A163" s="162">
        <v>12</v>
      </c>
      <c r="B163" s="224">
        <f t="shared" si="54"/>
        <v>44531</v>
      </c>
      <c r="C163" s="222">
        <f t="shared" si="61"/>
        <v>44566</v>
      </c>
      <c r="D163" s="222">
        <f t="shared" si="61"/>
        <v>44585</v>
      </c>
      <c r="E163" s="231" t="s">
        <v>55</v>
      </c>
      <c r="F163" s="173">
        <v>9</v>
      </c>
      <c r="G163" s="202">
        <v>94</v>
      </c>
      <c r="H163" s="214">
        <f t="shared" si="62"/>
        <v>3.0958330474702616E-4</v>
      </c>
      <c r="I163" s="214">
        <f t="shared" si="53"/>
        <v>5.1131360104153957E-4</v>
      </c>
      <c r="J163" s="215">
        <f t="shared" si="55"/>
        <v>4.8063478497904717E-2</v>
      </c>
      <c r="K163" s="216">
        <f t="shared" si="49"/>
        <v>2.910083064622046E-2</v>
      </c>
      <c r="L163" s="217">
        <f t="shared" si="63"/>
        <v>1.8962647851684257E-2</v>
      </c>
      <c r="M163" s="207">
        <f t="shared" si="56"/>
        <v>6.7714827387811455E-4</v>
      </c>
      <c r="N163" s="208">
        <f t="shared" si="57"/>
        <v>1.9639796125562371E-2</v>
      </c>
      <c r="O163" s="207">
        <f t="shared" si="58"/>
        <v>0</v>
      </c>
      <c r="P163" s="207">
        <f t="shared" si="59"/>
        <v>0</v>
      </c>
      <c r="Q163" s="207">
        <v>0</v>
      </c>
      <c r="R163" s="208">
        <f t="shared" si="60"/>
        <v>1.9639796125562371E-2</v>
      </c>
    </row>
    <row r="164" spans="1:19" x14ac:dyDescent="0.2">
      <c r="A164" s="125">
        <v>1</v>
      </c>
      <c r="B164" s="199">
        <f t="shared" si="54"/>
        <v>44197</v>
      </c>
      <c r="C164" s="219">
        <f t="shared" si="61"/>
        <v>44230</v>
      </c>
      <c r="D164" s="219">
        <f t="shared" si="61"/>
        <v>44251</v>
      </c>
      <c r="E164" s="229" t="s">
        <v>56</v>
      </c>
      <c r="F164" s="125">
        <v>9</v>
      </c>
      <c r="G164" s="202">
        <v>11</v>
      </c>
      <c r="H164" s="203">
        <f>+$K$3</f>
        <v>3.0958330474702616E-4</v>
      </c>
      <c r="I164" s="203">
        <f t="shared" si="53"/>
        <v>5.1131360104153957E-4</v>
      </c>
      <c r="J164" s="204">
        <f t="shared" si="55"/>
        <v>5.6244496114569355E-3</v>
      </c>
      <c r="K164" s="205">
        <f t="shared" si="49"/>
        <v>3.405416352217288E-3</v>
      </c>
      <c r="L164" s="206">
        <f t="shared" si="63"/>
        <v>2.2190332592396476E-3</v>
      </c>
      <c r="M164" s="207">
        <f t="shared" si="56"/>
        <v>7.9240755453821915E-5</v>
      </c>
      <c r="N164" s="208">
        <f t="shared" si="57"/>
        <v>2.2982740146934694E-3</v>
      </c>
      <c r="O164" s="207">
        <f t="shared" si="58"/>
        <v>0</v>
      </c>
      <c r="P164" s="207">
        <f t="shared" si="59"/>
        <v>0</v>
      </c>
      <c r="Q164" s="207">
        <v>0</v>
      </c>
      <c r="R164" s="208">
        <f t="shared" si="60"/>
        <v>2.2982740146934694E-3</v>
      </c>
    </row>
    <row r="165" spans="1:19" x14ac:dyDescent="0.2">
      <c r="A165" s="162">
        <v>2</v>
      </c>
      <c r="B165" s="199">
        <f t="shared" si="54"/>
        <v>44228</v>
      </c>
      <c r="C165" s="222">
        <f t="shared" si="61"/>
        <v>44258</v>
      </c>
      <c r="D165" s="222">
        <f t="shared" si="61"/>
        <v>44279</v>
      </c>
      <c r="E165" s="230" t="s">
        <v>56</v>
      </c>
      <c r="F165" s="162">
        <v>9</v>
      </c>
      <c r="G165" s="202">
        <v>8</v>
      </c>
      <c r="H165" s="203">
        <f t="shared" ref="H165:H175" si="64">+$K$3</f>
        <v>3.0958330474702616E-4</v>
      </c>
      <c r="I165" s="203">
        <f t="shared" si="53"/>
        <v>5.1131360104153957E-4</v>
      </c>
      <c r="J165" s="204">
        <f t="shared" si="55"/>
        <v>4.0905088083323165E-3</v>
      </c>
      <c r="K165" s="205">
        <f t="shared" si="49"/>
        <v>2.4766664379762093E-3</v>
      </c>
      <c r="L165" s="206">
        <f t="shared" si="63"/>
        <v>1.6138423703561072E-3</v>
      </c>
      <c r="M165" s="207">
        <f t="shared" si="56"/>
        <v>5.7629640330052294E-5</v>
      </c>
      <c r="N165" s="208">
        <f t="shared" si="57"/>
        <v>1.6714720106861594E-3</v>
      </c>
      <c r="O165" s="207">
        <f t="shared" si="58"/>
        <v>0</v>
      </c>
      <c r="P165" s="207">
        <f t="shared" si="59"/>
        <v>0</v>
      </c>
      <c r="Q165" s="207">
        <v>0</v>
      </c>
      <c r="R165" s="208">
        <f t="shared" si="60"/>
        <v>1.6714720106861594E-3</v>
      </c>
    </row>
    <row r="166" spans="1:19" x14ac:dyDescent="0.2">
      <c r="A166" s="162">
        <v>3</v>
      </c>
      <c r="B166" s="199">
        <f t="shared" si="54"/>
        <v>44256</v>
      </c>
      <c r="C166" s="222">
        <f t="shared" si="61"/>
        <v>44291</v>
      </c>
      <c r="D166" s="222">
        <f t="shared" si="61"/>
        <v>44312</v>
      </c>
      <c r="E166" s="230" t="s">
        <v>56</v>
      </c>
      <c r="F166" s="162">
        <v>9</v>
      </c>
      <c r="G166" s="202">
        <v>7</v>
      </c>
      <c r="H166" s="203">
        <f t="shared" si="64"/>
        <v>3.0958330474702616E-4</v>
      </c>
      <c r="I166" s="203">
        <f t="shared" si="53"/>
        <v>5.1131360104153957E-4</v>
      </c>
      <c r="J166" s="204">
        <f t="shared" si="55"/>
        <v>3.5791952072907769E-3</v>
      </c>
      <c r="K166" s="205">
        <f t="shared" si="49"/>
        <v>2.1670831332291831E-3</v>
      </c>
      <c r="L166" s="206">
        <f>+J166-K166</f>
        <v>1.4121120740615938E-3</v>
      </c>
      <c r="M166" s="207">
        <f t="shared" si="56"/>
        <v>5.0425935288795758E-5</v>
      </c>
      <c r="N166" s="208">
        <f t="shared" si="57"/>
        <v>1.4625380093503896E-3</v>
      </c>
      <c r="O166" s="207">
        <f t="shared" si="58"/>
        <v>0</v>
      </c>
      <c r="P166" s="207">
        <f t="shared" si="59"/>
        <v>0</v>
      </c>
      <c r="Q166" s="207">
        <v>0</v>
      </c>
      <c r="R166" s="208">
        <f t="shared" si="60"/>
        <v>1.4625380093503896E-3</v>
      </c>
    </row>
    <row r="167" spans="1:19" x14ac:dyDescent="0.2">
      <c r="A167" s="125">
        <v>4</v>
      </c>
      <c r="B167" s="199">
        <f t="shared" si="54"/>
        <v>44287</v>
      </c>
      <c r="C167" s="222">
        <f t="shared" si="61"/>
        <v>44321</v>
      </c>
      <c r="D167" s="222">
        <f t="shared" si="61"/>
        <v>44340</v>
      </c>
      <c r="E167" s="230" t="s">
        <v>56</v>
      </c>
      <c r="F167" s="162">
        <v>9</v>
      </c>
      <c r="G167" s="202">
        <v>12</v>
      </c>
      <c r="H167" s="203">
        <f t="shared" si="64"/>
        <v>3.0958330474702616E-4</v>
      </c>
      <c r="I167" s="203">
        <f t="shared" si="53"/>
        <v>5.1131360104153957E-4</v>
      </c>
      <c r="J167" s="204">
        <f t="shared" si="55"/>
        <v>6.1357632124984744E-3</v>
      </c>
      <c r="K167" s="205">
        <f t="shared" si="49"/>
        <v>3.7149996569643138E-3</v>
      </c>
      <c r="L167" s="206">
        <f t="shared" ref="L167:L177" si="65">+J167-K167</f>
        <v>2.4207635555341606E-3</v>
      </c>
      <c r="M167" s="207">
        <f t="shared" si="56"/>
        <v>8.6444460495078445E-5</v>
      </c>
      <c r="N167" s="208">
        <f t="shared" si="57"/>
        <v>2.5072080160292391E-3</v>
      </c>
      <c r="O167" s="207">
        <f t="shared" si="58"/>
        <v>0</v>
      </c>
      <c r="P167" s="207">
        <f t="shared" si="59"/>
        <v>0</v>
      </c>
      <c r="Q167" s="207">
        <v>0</v>
      </c>
      <c r="R167" s="208">
        <f t="shared" si="60"/>
        <v>2.5072080160292391E-3</v>
      </c>
    </row>
    <row r="168" spans="1:19" x14ac:dyDescent="0.2">
      <c r="A168" s="162">
        <v>5</v>
      </c>
      <c r="B168" s="199">
        <f t="shared" si="54"/>
        <v>44317</v>
      </c>
      <c r="C168" s="222">
        <f t="shared" si="61"/>
        <v>44350</v>
      </c>
      <c r="D168" s="222">
        <f t="shared" si="61"/>
        <v>44371</v>
      </c>
      <c r="E168" s="230" t="s">
        <v>56</v>
      </c>
      <c r="F168" s="162">
        <v>9</v>
      </c>
      <c r="G168" s="202">
        <v>11</v>
      </c>
      <c r="H168" s="203">
        <f t="shared" si="64"/>
        <v>3.0958330474702616E-4</v>
      </c>
      <c r="I168" s="203">
        <f t="shared" si="53"/>
        <v>5.1131360104153957E-4</v>
      </c>
      <c r="J168" s="204">
        <f t="shared" si="55"/>
        <v>5.6244496114569355E-3</v>
      </c>
      <c r="K168" s="205">
        <f t="shared" si="49"/>
        <v>3.405416352217288E-3</v>
      </c>
      <c r="L168" s="206">
        <f t="shared" si="65"/>
        <v>2.2190332592396476E-3</v>
      </c>
      <c r="M168" s="207">
        <f t="shared" si="56"/>
        <v>7.9240755453821915E-5</v>
      </c>
      <c r="N168" s="208">
        <f t="shared" si="57"/>
        <v>2.2982740146934694E-3</v>
      </c>
      <c r="O168" s="207">
        <f t="shared" si="58"/>
        <v>0</v>
      </c>
      <c r="P168" s="207">
        <f t="shared" si="59"/>
        <v>0</v>
      </c>
      <c r="Q168" s="207">
        <v>0</v>
      </c>
      <c r="R168" s="208">
        <f t="shared" si="60"/>
        <v>2.2982740146934694E-3</v>
      </c>
    </row>
    <row r="169" spans="1:19" x14ac:dyDescent="0.2">
      <c r="A169" s="162">
        <v>6</v>
      </c>
      <c r="B169" s="199">
        <f t="shared" si="54"/>
        <v>44348</v>
      </c>
      <c r="C169" s="222">
        <f t="shared" si="61"/>
        <v>44383</v>
      </c>
      <c r="D169" s="222">
        <f t="shared" si="61"/>
        <v>44401</v>
      </c>
      <c r="E169" s="230" t="s">
        <v>56</v>
      </c>
      <c r="F169" s="162">
        <v>9</v>
      </c>
      <c r="G169" s="202">
        <v>13</v>
      </c>
      <c r="H169" s="203">
        <f t="shared" si="64"/>
        <v>3.0958330474702616E-4</v>
      </c>
      <c r="I169" s="203">
        <f t="shared" si="53"/>
        <v>5.1131360104153957E-4</v>
      </c>
      <c r="J169" s="204">
        <f t="shared" si="55"/>
        <v>6.647076813540014E-3</v>
      </c>
      <c r="K169" s="205">
        <f t="shared" si="49"/>
        <v>4.0245829617113404E-3</v>
      </c>
      <c r="L169" s="210">
        <f t="shared" si="65"/>
        <v>2.6224938518286736E-3</v>
      </c>
      <c r="M169" s="207">
        <f t="shared" si="56"/>
        <v>9.3648165536334987E-5</v>
      </c>
      <c r="N169" s="208">
        <f t="shared" si="57"/>
        <v>2.7161420173650087E-3</v>
      </c>
      <c r="O169" s="207">
        <f t="shared" si="58"/>
        <v>0</v>
      </c>
      <c r="P169" s="207">
        <f t="shared" si="59"/>
        <v>0</v>
      </c>
      <c r="Q169" s="207">
        <v>0</v>
      </c>
      <c r="R169" s="208">
        <f t="shared" si="60"/>
        <v>2.7161420173650087E-3</v>
      </c>
    </row>
    <row r="170" spans="1:19" x14ac:dyDescent="0.2">
      <c r="A170" s="125">
        <v>7</v>
      </c>
      <c r="B170" s="199">
        <f t="shared" si="54"/>
        <v>44378</v>
      </c>
      <c r="C170" s="222">
        <f t="shared" si="61"/>
        <v>44412</v>
      </c>
      <c r="D170" s="222">
        <f t="shared" si="61"/>
        <v>44432</v>
      </c>
      <c r="E170" s="230" t="s">
        <v>56</v>
      </c>
      <c r="F170" s="162">
        <v>9</v>
      </c>
      <c r="G170" s="202">
        <v>13</v>
      </c>
      <c r="H170" s="203">
        <f t="shared" si="64"/>
        <v>3.0958330474702616E-4</v>
      </c>
      <c r="I170" s="203">
        <f t="shared" si="53"/>
        <v>5.1131360104153957E-4</v>
      </c>
      <c r="J170" s="204">
        <f t="shared" si="55"/>
        <v>6.647076813540014E-3</v>
      </c>
      <c r="K170" s="211">
        <f t="shared" si="49"/>
        <v>4.0245829617113404E-3</v>
      </c>
      <c r="L170" s="210">
        <f t="shared" si="65"/>
        <v>2.6224938518286736E-3</v>
      </c>
      <c r="M170" s="207">
        <f t="shared" si="56"/>
        <v>9.3648165536334987E-5</v>
      </c>
      <c r="N170" s="208">
        <f t="shared" si="57"/>
        <v>2.7161420173650087E-3</v>
      </c>
      <c r="O170" s="207">
        <f t="shared" si="58"/>
        <v>0</v>
      </c>
      <c r="P170" s="207">
        <f t="shared" si="59"/>
        <v>0</v>
      </c>
      <c r="Q170" s="207">
        <v>0</v>
      </c>
      <c r="R170" s="208">
        <f t="shared" si="60"/>
        <v>2.7161420173650087E-3</v>
      </c>
    </row>
    <row r="171" spans="1:19" x14ac:dyDescent="0.2">
      <c r="A171" s="162">
        <v>8</v>
      </c>
      <c r="B171" s="199">
        <f t="shared" si="54"/>
        <v>44409</v>
      </c>
      <c r="C171" s="222">
        <f t="shared" si="61"/>
        <v>44442</v>
      </c>
      <c r="D171" s="222">
        <f t="shared" si="61"/>
        <v>44463</v>
      </c>
      <c r="E171" s="230" t="s">
        <v>56</v>
      </c>
      <c r="F171" s="125">
        <v>9</v>
      </c>
      <c r="G171" s="202">
        <v>12</v>
      </c>
      <c r="H171" s="203">
        <f t="shared" si="64"/>
        <v>3.0958330474702616E-4</v>
      </c>
      <c r="I171" s="203">
        <f t="shared" si="53"/>
        <v>5.1131360104153957E-4</v>
      </c>
      <c r="J171" s="204">
        <f t="shared" si="55"/>
        <v>6.1357632124984744E-3</v>
      </c>
      <c r="K171" s="211">
        <f t="shared" si="49"/>
        <v>3.7149996569643138E-3</v>
      </c>
      <c r="L171" s="210">
        <f t="shared" si="65"/>
        <v>2.4207635555341606E-3</v>
      </c>
      <c r="M171" s="207">
        <f t="shared" si="56"/>
        <v>8.6444460495078445E-5</v>
      </c>
      <c r="N171" s="208">
        <f t="shared" si="57"/>
        <v>2.5072080160292391E-3</v>
      </c>
      <c r="O171" s="207">
        <f t="shared" si="58"/>
        <v>0</v>
      </c>
      <c r="P171" s="207">
        <f t="shared" si="59"/>
        <v>0</v>
      </c>
      <c r="Q171" s="207">
        <v>0</v>
      </c>
      <c r="R171" s="208">
        <f t="shared" si="60"/>
        <v>2.5072080160292391E-3</v>
      </c>
      <c r="S171" s="52"/>
    </row>
    <row r="172" spans="1:19" x14ac:dyDescent="0.2">
      <c r="A172" s="162">
        <v>9</v>
      </c>
      <c r="B172" s="199">
        <f t="shared" si="54"/>
        <v>44440</v>
      </c>
      <c r="C172" s="222">
        <f t="shared" ref="C172:D175" si="66">+C160</f>
        <v>44474</v>
      </c>
      <c r="D172" s="222">
        <f t="shared" si="66"/>
        <v>44494</v>
      </c>
      <c r="E172" s="230" t="s">
        <v>56</v>
      </c>
      <c r="F172" s="125">
        <v>9</v>
      </c>
      <c r="G172" s="202">
        <v>13</v>
      </c>
      <c r="H172" s="203">
        <f t="shared" si="64"/>
        <v>3.0958330474702616E-4</v>
      </c>
      <c r="I172" s="203">
        <f t="shared" si="53"/>
        <v>5.1131360104153957E-4</v>
      </c>
      <c r="J172" s="204">
        <f t="shared" si="55"/>
        <v>6.647076813540014E-3</v>
      </c>
      <c r="K172" s="211">
        <f t="shared" si="49"/>
        <v>4.0245829617113404E-3</v>
      </c>
      <c r="L172" s="210">
        <f t="shared" si="65"/>
        <v>2.6224938518286736E-3</v>
      </c>
      <c r="M172" s="207">
        <f t="shared" si="56"/>
        <v>9.3648165536334987E-5</v>
      </c>
      <c r="N172" s="208">
        <f t="shared" si="57"/>
        <v>2.7161420173650087E-3</v>
      </c>
      <c r="O172" s="207">
        <f t="shared" si="58"/>
        <v>0</v>
      </c>
      <c r="P172" s="207">
        <f t="shared" si="59"/>
        <v>0</v>
      </c>
      <c r="Q172" s="207">
        <v>0</v>
      </c>
      <c r="R172" s="208">
        <f t="shared" si="60"/>
        <v>2.7161420173650087E-3</v>
      </c>
    </row>
    <row r="173" spans="1:19" x14ac:dyDescent="0.2">
      <c r="A173" s="125">
        <v>10</v>
      </c>
      <c r="B173" s="199">
        <f t="shared" si="54"/>
        <v>44470</v>
      </c>
      <c r="C173" s="222">
        <f t="shared" si="66"/>
        <v>44503</v>
      </c>
      <c r="D173" s="222">
        <f t="shared" si="66"/>
        <v>44524</v>
      </c>
      <c r="E173" s="230" t="s">
        <v>56</v>
      </c>
      <c r="F173" s="125">
        <v>9</v>
      </c>
      <c r="G173" s="202">
        <v>8</v>
      </c>
      <c r="H173" s="203">
        <f t="shared" si="64"/>
        <v>3.0958330474702616E-4</v>
      </c>
      <c r="I173" s="203">
        <f t="shared" si="53"/>
        <v>5.1131360104153957E-4</v>
      </c>
      <c r="J173" s="204">
        <f t="shared" si="55"/>
        <v>4.0905088083323165E-3</v>
      </c>
      <c r="K173" s="211">
        <f t="shared" si="49"/>
        <v>2.4766664379762093E-3</v>
      </c>
      <c r="L173" s="210">
        <f t="shared" si="65"/>
        <v>1.6138423703561072E-3</v>
      </c>
      <c r="M173" s="207">
        <f t="shared" si="56"/>
        <v>5.7629640330052294E-5</v>
      </c>
      <c r="N173" s="208">
        <f t="shared" si="57"/>
        <v>1.6714720106861594E-3</v>
      </c>
      <c r="O173" s="207">
        <f t="shared" si="58"/>
        <v>0</v>
      </c>
      <c r="P173" s="207">
        <f t="shared" si="59"/>
        <v>0</v>
      </c>
      <c r="Q173" s="207">
        <v>0</v>
      </c>
      <c r="R173" s="208">
        <f t="shared" si="60"/>
        <v>1.6714720106861594E-3</v>
      </c>
    </row>
    <row r="174" spans="1:19" x14ac:dyDescent="0.2">
      <c r="A174" s="162">
        <v>11</v>
      </c>
      <c r="B174" s="199">
        <f t="shared" si="54"/>
        <v>44501</v>
      </c>
      <c r="C174" s="222">
        <f t="shared" si="66"/>
        <v>44533</v>
      </c>
      <c r="D174" s="222">
        <f t="shared" si="66"/>
        <v>44557</v>
      </c>
      <c r="E174" s="230" t="s">
        <v>56</v>
      </c>
      <c r="F174" s="125">
        <v>9</v>
      </c>
      <c r="G174" s="202">
        <v>8</v>
      </c>
      <c r="H174" s="203">
        <f t="shared" si="64"/>
        <v>3.0958330474702616E-4</v>
      </c>
      <c r="I174" s="203">
        <f t="shared" si="53"/>
        <v>5.1131360104153957E-4</v>
      </c>
      <c r="J174" s="204">
        <f t="shared" si="55"/>
        <v>4.0905088083323165E-3</v>
      </c>
      <c r="K174" s="211">
        <f t="shared" si="49"/>
        <v>2.4766664379762093E-3</v>
      </c>
      <c r="L174" s="210">
        <f t="shared" si="65"/>
        <v>1.6138423703561072E-3</v>
      </c>
      <c r="M174" s="207">
        <f t="shared" si="56"/>
        <v>5.7629640330052294E-5</v>
      </c>
      <c r="N174" s="208">
        <f t="shared" si="57"/>
        <v>1.6714720106861594E-3</v>
      </c>
      <c r="O174" s="207">
        <f t="shared" si="58"/>
        <v>0</v>
      </c>
      <c r="P174" s="207">
        <f t="shared" si="59"/>
        <v>0</v>
      </c>
      <c r="Q174" s="207">
        <v>0</v>
      </c>
      <c r="R174" s="208">
        <f t="shared" si="60"/>
        <v>1.6714720106861594E-3</v>
      </c>
    </row>
    <row r="175" spans="1:19" s="226" customFormat="1" x14ac:dyDescent="0.2">
      <c r="A175" s="162">
        <v>12</v>
      </c>
      <c r="B175" s="224">
        <f t="shared" si="54"/>
        <v>44531</v>
      </c>
      <c r="C175" s="222">
        <f t="shared" si="66"/>
        <v>44566</v>
      </c>
      <c r="D175" s="222">
        <f t="shared" si="66"/>
        <v>44585</v>
      </c>
      <c r="E175" s="231" t="s">
        <v>56</v>
      </c>
      <c r="F175" s="173">
        <v>9</v>
      </c>
      <c r="G175" s="202">
        <v>11</v>
      </c>
      <c r="H175" s="214">
        <f t="shared" si="64"/>
        <v>3.0958330474702616E-4</v>
      </c>
      <c r="I175" s="214">
        <f t="shared" si="53"/>
        <v>5.1131360104153957E-4</v>
      </c>
      <c r="J175" s="215">
        <f t="shared" si="55"/>
        <v>5.6244496114569355E-3</v>
      </c>
      <c r="K175" s="216">
        <f t="shared" si="49"/>
        <v>3.405416352217288E-3</v>
      </c>
      <c r="L175" s="217">
        <f t="shared" si="65"/>
        <v>2.2190332592396476E-3</v>
      </c>
      <c r="M175" s="207">
        <f t="shared" si="56"/>
        <v>7.9240755453821915E-5</v>
      </c>
      <c r="N175" s="208">
        <f t="shared" si="57"/>
        <v>2.2982740146934694E-3</v>
      </c>
      <c r="O175" s="207">
        <f t="shared" si="58"/>
        <v>0</v>
      </c>
      <c r="P175" s="207">
        <f t="shared" si="59"/>
        <v>0</v>
      </c>
      <c r="Q175" s="207">
        <v>0</v>
      </c>
      <c r="R175" s="208">
        <f t="shared" si="60"/>
        <v>2.2982740146934694E-3</v>
      </c>
    </row>
    <row r="176" spans="1:19" x14ac:dyDescent="0.2">
      <c r="A176" s="125">
        <v>1</v>
      </c>
      <c r="B176" s="199">
        <f t="shared" si="54"/>
        <v>44197</v>
      </c>
      <c r="C176" s="219">
        <f t="shared" ref="C176:D187" si="67">+C152</f>
        <v>44230</v>
      </c>
      <c r="D176" s="219">
        <f t="shared" si="67"/>
        <v>44251</v>
      </c>
      <c r="E176" s="229" t="s">
        <v>57</v>
      </c>
      <c r="F176" s="162">
        <v>9</v>
      </c>
      <c r="G176" s="202">
        <v>20</v>
      </c>
      <c r="H176" s="203">
        <f>+$K$3</f>
        <v>3.0958330474702616E-4</v>
      </c>
      <c r="I176" s="203">
        <f t="shared" si="53"/>
        <v>5.1131360104153957E-4</v>
      </c>
      <c r="J176" s="204">
        <f t="shared" si="55"/>
        <v>1.0226272020830792E-2</v>
      </c>
      <c r="K176" s="205">
        <f t="shared" si="49"/>
        <v>6.1916660949405235E-3</v>
      </c>
      <c r="L176" s="206">
        <f t="shared" si="65"/>
        <v>4.0346059258902682E-3</v>
      </c>
      <c r="M176" s="207">
        <f t="shared" si="56"/>
        <v>1.4407410082513075E-4</v>
      </c>
      <c r="N176" s="208">
        <f t="shared" si="57"/>
        <v>4.1786800267153987E-3</v>
      </c>
      <c r="O176" s="207">
        <f t="shared" si="58"/>
        <v>0</v>
      </c>
      <c r="P176" s="207">
        <f t="shared" si="59"/>
        <v>0</v>
      </c>
      <c r="Q176" s="207">
        <v>0</v>
      </c>
      <c r="R176" s="208">
        <f t="shared" si="60"/>
        <v>4.1786800267153987E-3</v>
      </c>
    </row>
    <row r="177" spans="1:18" x14ac:dyDescent="0.2">
      <c r="A177" s="162">
        <v>2</v>
      </c>
      <c r="B177" s="199">
        <f t="shared" si="54"/>
        <v>44228</v>
      </c>
      <c r="C177" s="222">
        <f t="shared" si="67"/>
        <v>44258</v>
      </c>
      <c r="D177" s="222">
        <f t="shared" si="67"/>
        <v>44279</v>
      </c>
      <c r="E177" s="54" t="s">
        <v>57</v>
      </c>
      <c r="F177" s="162">
        <v>9</v>
      </c>
      <c r="G177" s="202">
        <v>23</v>
      </c>
      <c r="H177" s="203">
        <f t="shared" ref="H177:H187" si="68">+$K$3</f>
        <v>3.0958330474702616E-4</v>
      </c>
      <c r="I177" s="203">
        <f t="shared" si="53"/>
        <v>5.1131360104153957E-4</v>
      </c>
      <c r="J177" s="204">
        <f t="shared" si="55"/>
        <v>1.176021282395541E-2</v>
      </c>
      <c r="K177" s="205">
        <f t="shared" si="49"/>
        <v>7.1204160091816017E-3</v>
      </c>
      <c r="L177" s="206">
        <f t="shared" si="65"/>
        <v>4.6397968147738082E-3</v>
      </c>
      <c r="M177" s="207">
        <f t="shared" si="56"/>
        <v>1.6568521594890036E-4</v>
      </c>
      <c r="N177" s="208">
        <f t="shared" si="57"/>
        <v>4.8054820307227089E-3</v>
      </c>
      <c r="O177" s="207">
        <f t="shared" si="58"/>
        <v>0</v>
      </c>
      <c r="P177" s="207">
        <f t="shared" si="59"/>
        <v>0</v>
      </c>
      <c r="Q177" s="207">
        <v>0</v>
      </c>
      <c r="R177" s="208">
        <f t="shared" si="60"/>
        <v>4.8054820307227089E-3</v>
      </c>
    </row>
    <row r="178" spans="1:18" x14ac:dyDescent="0.2">
      <c r="A178" s="162">
        <v>3</v>
      </c>
      <c r="B178" s="199">
        <f t="shared" si="54"/>
        <v>44256</v>
      </c>
      <c r="C178" s="222">
        <f t="shared" si="67"/>
        <v>44291</v>
      </c>
      <c r="D178" s="222">
        <f t="shared" si="67"/>
        <v>44312</v>
      </c>
      <c r="E178" s="54" t="s">
        <v>57</v>
      </c>
      <c r="F178" s="162">
        <v>9</v>
      </c>
      <c r="G178" s="202">
        <v>16</v>
      </c>
      <c r="H178" s="203">
        <f t="shared" si="68"/>
        <v>3.0958330474702616E-4</v>
      </c>
      <c r="I178" s="203">
        <f t="shared" si="53"/>
        <v>5.1131360104153957E-4</v>
      </c>
      <c r="J178" s="204">
        <f t="shared" si="55"/>
        <v>8.181017616664633E-3</v>
      </c>
      <c r="K178" s="205">
        <f t="shared" si="49"/>
        <v>4.9533328759524186E-3</v>
      </c>
      <c r="L178" s="206">
        <f>+J178-K178</f>
        <v>3.2276847407122144E-3</v>
      </c>
      <c r="M178" s="207">
        <f t="shared" si="56"/>
        <v>1.1525928066010459E-4</v>
      </c>
      <c r="N178" s="208">
        <f t="shared" si="57"/>
        <v>3.3429440213723189E-3</v>
      </c>
      <c r="O178" s="207">
        <f t="shared" si="58"/>
        <v>0</v>
      </c>
      <c r="P178" s="207">
        <f t="shared" si="59"/>
        <v>0</v>
      </c>
      <c r="Q178" s="207">
        <v>0</v>
      </c>
      <c r="R178" s="208">
        <f t="shared" si="60"/>
        <v>3.3429440213723189E-3</v>
      </c>
    </row>
    <row r="179" spans="1:18" x14ac:dyDescent="0.2">
      <c r="A179" s="125">
        <v>4</v>
      </c>
      <c r="B179" s="199">
        <f t="shared" si="54"/>
        <v>44287</v>
      </c>
      <c r="C179" s="222">
        <f t="shared" si="67"/>
        <v>44321</v>
      </c>
      <c r="D179" s="222">
        <f t="shared" si="67"/>
        <v>44340</v>
      </c>
      <c r="E179" s="54" t="s">
        <v>57</v>
      </c>
      <c r="F179" s="162">
        <v>9</v>
      </c>
      <c r="G179" s="202">
        <v>20</v>
      </c>
      <c r="H179" s="203">
        <f t="shared" si="68"/>
        <v>3.0958330474702616E-4</v>
      </c>
      <c r="I179" s="203">
        <f t="shared" si="53"/>
        <v>5.1131360104153957E-4</v>
      </c>
      <c r="J179" s="204">
        <f t="shared" si="55"/>
        <v>1.0226272020830792E-2</v>
      </c>
      <c r="K179" s="205">
        <f t="shared" si="49"/>
        <v>6.1916660949405235E-3</v>
      </c>
      <c r="L179" s="206">
        <f t="shared" ref="L179:L189" si="69">+J179-K179</f>
        <v>4.0346059258902682E-3</v>
      </c>
      <c r="M179" s="207">
        <f t="shared" si="56"/>
        <v>1.4407410082513075E-4</v>
      </c>
      <c r="N179" s="208">
        <f t="shared" si="57"/>
        <v>4.1786800267153987E-3</v>
      </c>
      <c r="O179" s="207">
        <f t="shared" si="58"/>
        <v>0</v>
      </c>
      <c r="P179" s="207">
        <f t="shared" si="59"/>
        <v>0</v>
      </c>
      <c r="Q179" s="207">
        <v>0</v>
      </c>
      <c r="R179" s="208">
        <f t="shared" si="60"/>
        <v>4.1786800267153987E-3</v>
      </c>
    </row>
    <row r="180" spans="1:18" x14ac:dyDescent="0.2">
      <c r="A180" s="162">
        <v>5</v>
      </c>
      <c r="B180" s="199">
        <f t="shared" si="54"/>
        <v>44317</v>
      </c>
      <c r="C180" s="222">
        <f t="shared" si="67"/>
        <v>44350</v>
      </c>
      <c r="D180" s="222">
        <f t="shared" si="67"/>
        <v>44371</v>
      </c>
      <c r="E180" s="54" t="s">
        <v>57</v>
      </c>
      <c r="F180" s="162">
        <v>9</v>
      </c>
      <c r="G180" s="202">
        <v>27</v>
      </c>
      <c r="H180" s="203">
        <f t="shared" si="68"/>
        <v>3.0958330474702616E-4</v>
      </c>
      <c r="I180" s="203">
        <f t="shared" ref="I180:I211" si="70">$J$3</f>
        <v>5.1131360104153957E-4</v>
      </c>
      <c r="J180" s="204">
        <f t="shared" si="55"/>
        <v>1.3805467228121569E-2</v>
      </c>
      <c r="K180" s="205">
        <f t="shared" si="49"/>
        <v>8.3587492281697057E-3</v>
      </c>
      <c r="L180" s="206">
        <f t="shared" si="69"/>
        <v>5.4467179999518629E-3</v>
      </c>
      <c r="M180" s="207">
        <f t="shared" si="56"/>
        <v>1.945000361139265E-4</v>
      </c>
      <c r="N180" s="208">
        <f t="shared" si="57"/>
        <v>5.6412180360657892E-3</v>
      </c>
      <c r="O180" s="207">
        <f t="shared" si="58"/>
        <v>0</v>
      </c>
      <c r="P180" s="207">
        <f t="shared" si="59"/>
        <v>0</v>
      </c>
      <c r="Q180" s="207">
        <v>0</v>
      </c>
      <c r="R180" s="208">
        <f t="shared" si="60"/>
        <v>5.6412180360657892E-3</v>
      </c>
    </row>
    <row r="181" spans="1:18" x14ac:dyDescent="0.2">
      <c r="A181" s="162">
        <v>6</v>
      </c>
      <c r="B181" s="199">
        <f t="shared" si="54"/>
        <v>44348</v>
      </c>
      <c r="C181" s="222">
        <f t="shared" si="67"/>
        <v>44383</v>
      </c>
      <c r="D181" s="222">
        <f t="shared" si="67"/>
        <v>44401</v>
      </c>
      <c r="E181" s="54" t="s">
        <v>57</v>
      </c>
      <c r="F181" s="162">
        <v>9</v>
      </c>
      <c r="G181" s="202">
        <v>32</v>
      </c>
      <c r="H181" s="203">
        <f t="shared" si="68"/>
        <v>3.0958330474702616E-4</v>
      </c>
      <c r="I181" s="203">
        <f t="shared" si="70"/>
        <v>5.1131360104153957E-4</v>
      </c>
      <c r="J181" s="204">
        <f t="shared" si="55"/>
        <v>1.6362035233329266E-2</v>
      </c>
      <c r="K181" s="205">
        <f t="shared" si="49"/>
        <v>9.9066657519048373E-3</v>
      </c>
      <c r="L181" s="210">
        <f t="shared" si="69"/>
        <v>6.4553694814244288E-3</v>
      </c>
      <c r="M181" s="207">
        <f t="shared" si="56"/>
        <v>2.3051856132020918E-4</v>
      </c>
      <c r="N181" s="208">
        <f t="shared" si="57"/>
        <v>6.6858880427446378E-3</v>
      </c>
      <c r="O181" s="207">
        <f t="shared" si="58"/>
        <v>0</v>
      </c>
      <c r="P181" s="207">
        <f t="shared" si="59"/>
        <v>0</v>
      </c>
      <c r="Q181" s="207">
        <v>0</v>
      </c>
      <c r="R181" s="208">
        <f t="shared" si="60"/>
        <v>6.6858880427446378E-3</v>
      </c>
    </row>
    <row r="182" spans="1:18" x14ac:dyDescent="0.2">
      <c r="A182" s="125">
        <v>7</v>
      </c>
      <c r="B182" s="199">
        <f t="shared" si="54"/>
        <v>44378</v>
      </c>
      <c r="C182" s="222">
        <f t="shared" si="67"/>
        <v>44412</v>
      </c>
      <c r="D182" s="222">
        <f t="shared" si="67"/>
        <v>44432</v>
      </c>
      <c r="E182" s="54" t="s">
        <v>57</v>
      </c>
      <c r="F182" s="162">
        <v>9</v>
      </c>
      <c r="G182" s="202">
        <v>37</v>
      </c>
      <c r="H182" s="203">
        <f t="shared" si="68"/>
        <v>3.0958330474702616E-4</v>
      </c>
      <c r="I182" s="203">
        <f t="shared" si="70"/>
        <v>5.1131360104153957E-4</v>
      </c>
      <c r="J182" s="204">
        <f t="shared" si="55"/>
        <v>1.8918603238536964E-2</v>
      </c>
      <c r="K182" s="211">
        <f t="shared" si="49"/>
        <v>1.1454582275639969E-2</v>
      </c>
      <c r="L182" s="210">
        <f t="shared" si="69"/>
        <v>7.4640209628969948E-3</v>
      </c>
      <c r="M182" s="207">
        <f t="shared" si="56"/>
        <v>2.6653708652649188E-4</v>
      </c>
      <c r="N182" s="208">
        <f t="shared" si="57"/>
        <v>7.7305580494234864E-3</v>
      </c>
      <c r="O182" s="207">
        <f t="shared" si="58"/>
        <v>0</v>
      </c>
      <c r="P182" s="207">
        <f t="shared" si="59"/>
        <v>0</v>
      </c>
      <c r="Q182" s="207">
        <v>0</v>
      </c>
      <c r="R182" s="208">
        <f t="shared" si="60"/>
        <v>7.7305580494234864E-3</v>
      </c>
    </row>
    <row r="183" spans="1:18" x14ac:dyDescent="0.2">
      <c r="A183" s="162">
        <v>8</v>
      </c>
      <c r="B183" s="199">
        <f t="shared" si="54"/>
        <v>44409</v>
      </c>
      <c r="C183" s="222">
        <f t="shared" si="67"/>
        <v>44442</v>
      </c>
      <c r="D183" s="222">
        <f t="shared" si="67"/>
        <v>44463</v>
      </c>
      <c r="E183" s="54" t="s">
        <v>57</v>
      </c>
      <c r="F183" s="162">
        <v>9</v>
      </c>
      <c r="G183" s="202">
        <v>33</v>
      </c>
      <c r="H183" s="203">
        <f t="shared" si="68"/>
        <v>3.0958330474702616E-4</v>
      </c>
      <c r="I183" s="203">
        <f t="shared" si="70"/>
        <v>5.1131360104153957E-4</v>
      </c>
      <c r="J183" s="204">
        <f t="shared" si="55"/>
        <v>1.6873348834370805E-2</v>
      </c>
      <c r="K183" s="211">
        <f t="shared" si="49"/>
        <v>1.0216249056651864E-2</v>
      </c>
      <c r="L183" s="210">
        <f t="shared" si="69"/>
        <v>6.657099777718941E-3</v>
      </c>
      <c r="M183" s="207">
        <f t="shared" si="56"/>
        <v>2.3772226636146571E-4</v>
      </c>
      <c r="N183" s="208">
        <f t="shared" si="57"/>
        <v>6.894822044080407E-3</v>
      </c>
      <c r="O183" s="207">
        <f t="shared" si="58"/>
        <v>0</v>
      </c>
      <c r="P183" s="207">
        <f t="shared" si="59"/>
        <v>0</v>
      </c>
      <c r="Q183" s="207">
        <v>0</v>
      </c>
      <c r="R183" s="208">
        <f t="shared" si="60"/>
        <v>6.894822044080407E-3</v>
      </c>
    </row>
    <row r="184" spans="1:18" x14ac:dyDescent="0.2">
      <c r="A184" s="162">
        <v>9</v>
      </c>
      <c r="B184" s="199">
        <f t="shared" si="54"/>
        <v>44440</v>
      </c>
      <c r="C184" s="222">
        <f t="shared" si="67"/>
        <v>44474</v>
      </c>
      <c r="D184" s="222">
        <f t="shared" si="67"/>
        <v>44494</v>
      </c>
      <c r="E184" s="54" t="s">
        <v>57</v>
      </c>
      <c r="F184" s="162">
        <v>9</v>
      </c>
      <c r="G184" s="202">
        <v>37</v>
      </c>
      <c r="H184" s="203">
        <f t="shared" si="68"/>
        <v>3.0958330474702616E-4</v>
      </c>
      <c r="I184" s="203">
        <f t="shared" si="70"/>
        <v>5.1131360104153957E-4</v>
      </c>
      <c r="J184" s="204">
        <f t="shared" si="55"/>
        <v>1.8918603238536964E-2</v>
      </c>
      <c r="K184" s="211">
        <f t="shared" si="49"/>
        <v>1.1454582275639969E-2</v>
      </c>
      <c r="L184" s="210">
        <f t="shared" si="69"/>
        <v>7.4640209628969948E-3</v>
      </c>
      <c r="M184" s="207">
        <f t="shared" si="56"/>
        <v>2.6653708652649188E-4</v>
      </c>
      <c r="N184" s="208">
        <f t="shared" si="57"/>
        <v>7.7305580494234864E-3</v>
      </c>
      <c r="O184" s="207">
        <f t="shared" si="58"/>
        <v>0</v>
      </c>
      <c r="P184" s="207">
        <f t="shared" si="59"/>
        <v>0</v>
      </c>
      <c r="Q184" s="207">
        <v>0</v>
      </c>
      <c r="R184" s="208">
        <f t="shared" si="60"/>
        <v>7.7305580494234864E-3</v>
      </c>
    </row>
    <row r="185" spans="1:18" x14ac:dyDescent="0.2">
      <c r="A185" s="125">
        <v>10</v>
      </c>
      <c r="B185" s="199">
        <f t="shared" si="54"/>
        <v>44470</v>
      </c>
      <c r="C185" s="222">
        <f t="shared" si="67"/>
        <v>44503</v>
      </c>
      <c r="D185" s="222">
        <f t="shared" si="67"/>
        <v>44524</v>
      </c>
      <c r="E185" s="54" t="s">
        <v>57</v>
      </c>
      <c r="F185" s="162">
        <v>9</v>
      </c>
      <c r="G185" s="202">
        <v>27</v>
      </c>
      <c r="H185" s="203">
        <f t="shared" si="68"/>
        <v>3.0958330474702616E-4</v>
      </c>
      <c r="I185" s="203">
        <f t="shared" si="70"/>
        <v>5.1131360104153957E-4</v>
      </c>
      <c r="J185" s="204">
        <f t="shared" si="55"/>
        <v>1.3805467228121569E-2</v>
      </c>
      <c r="K185" s="211">
        <f t="shared" si="49"/>
        <v>8.3587492281697057E-3</v>
      </c>
      <c r="L185" s="210">
        <f t="shared" si="69"/>
        <v>5.4467179999518629E-3</v>
      </c>
      <c r="M185" s="207">
        <f t="shared" si="56"/>
        <v>1.945000361139265E-4</v>
      </c>
      <c r="N185" s="208">
        <f t="shared" si="57"/>
        <v>5.6412180360657892E-3</v>
      </c>
      <c r="O185" s="207">
        <f t="shared" si="58"/>
        <v>0</v>
      </c>
      <c r="P185" s="207">
        <f t="shared" si="59"/>
        <v>0</v>
      </c>
      <c r="Q185" s="207">
        <v>0</v>
      </c>
      <c r="R185" s="208">
        <f t="shared" si="60"/>
        <v>5.6412180360657892E-3</v>
      </c>
    </row>
    <row r="186" spans="1:18" x14ac:dyDescent="0.2">
      <c r="A186" s="162">
        <v>11</v>
      </c>
      <c r="B186" s="199">
        <f t="shared" si="54"/>
        <v>44501</v>
      </c>
      <c r="C186" s="222">
        <f t="shared" si="67"/>
        <v>44533</v>
      </c>
      <c r="D186" s="222">
        <f t="shared" si="67"/>
        <v>44557</v>
      </c>
      <c r="E186" s="54" t="s">
        <v>57</v>
      </c>
      <c r="F186" s="162">
        <v>9</v>
      </c>
      <c r="G186" s="202">
        <v>16</v>
      </c>
      <c r="H186" s="203">
        <f t="shared" si="68"/>
        <v>3.0958330474702616E-4</v>
      </c>
      <c r="I186" s="203">
        <f t="shared" si="70"/>
        <v>5.1131360104153957E-4</v>
      </c>
      <c r="J186" s="204">
        <f t="shared" si="55"/>
        <v>8.181017616664633E-3</v>
      </c>
      <c r="K186" s="211">
        <f t="shared" si="49"/>
        <v>4.9533328759524186E-3</v>
      </c>
      <c r="L186" s="210">
        <f t="shared" si="69"/>
        <v>3.2276847407122144E-3</v>
      </c>
      <c r="M186" s="207">
        <f t="shared" si="56"/>
        <v>1.1525928066010459E-4</v>
      </c>
      <c r="N186" s="208">
        <f t="shared" si="57"/>
        <v>3.3429440213723189E-3</v>
      </c>
      <c r="O186" s="207">
        <f t="shared" si="58"/>
        <v>0</v>
      </c>
      <c r="P186" s="207">
        <f t="shared" si="59"/>
        <v>0</v>
      </c>
      <c r="Q186" s="207">
        <v>0</v>
      </c>
      <c r="R186" s="208">
        <f t="shared" si="60"/>
        <v>3.3429440213723189E-3</v>
      </c>
    </row>
    <row r="187" spans="1:18" s="226" customFormat="1" x14ac:dyDescent="0.2">
      <c r="A187" s="162">
        <v>12</v>
      </c>
      <c r="B187" s="224">
        <f t="shared" si="54"/>
        <v>44531</v>
      </c>
      <c r="C187" s="222">
        <f t="shared" si="67"/>
        <v>44566</v>
      </c>
      <c r="D187" s="222">
        <f t="shared" si="67"/>
        <v>44585</v>
      </c>
      <c r="E187" s="225" t="s">
        <v>57</v>
      </c>
      <c r="F187" s="173">
        <v>9</v>
      </c>
      <c r="G187" s="202">
        <v>19</v>
      </c>
      <c r="H187" s="214">
        <f t="shared" si="68"/>
        <v>3.0958330474702616E-4</v>
      </c>
      <c r="I187" s="214">
        <f t="shared" si="70"/>
        <v>5.1131360104153957E-4</v>
      </c>
      <c r="J187" s="215">
        <f t="shared" si="55"/>
        <v>9.7149584197892512E-3</v>
      </c>
      <c r="K187" s="216">
        <f t="shared" si="49"/>
        <v>5.8820827901934969E-3</v>
      </c>
      <c r="L187" s="217">
        <f t="shared" si="69"/>
        <v>3.8328756295957543E-3</v>
      </c>
      <c r="M187" s="207">
        <f t="shared" si="56"/>
        <v>1.3687039578387422E-4</v>
      </c>
      <c r="N187" s="208">
        <f t="shared" si="57"/>
        <v>3.9697460253796286E-3</v>
      </c>
      <c r="O187" s="207">
        <f t="shared" si="58"/>
        <v>0</v>
      </c>
      <c r="P187" s="207">
        <f t="shared" si="59"/>
        <v>0</v>
      </c>
      <c r="Q187" s="207">
        <v>0</v>
      </c>
      <c r="R187" s="208">
        <f t="shared" si="60"/>
        <v>3.9697460253796286E-3</v>
      </c>
    </row>
    <row r="188" spans="1:18" x14ac:dyDescent="0.2">
      <c r="A188" s="125">
        <v>1</v>
      </c>
      <c r="B188" s="199">
        <f t="shared" si="54"/>
        <v>44197</v>
      </c>
      <c r="C188" s="219">
        <f t="shared" ref="C188:D211" si="71">+C176</f>
        <v>44230</v>
      </c>
      <c r="D188" s="219">
        <f t="shared" si="71"/>
        <v>44251</v>
      </c>
      <c r="E188" s="201" t="s">
        <v>58</v>
      </c>
      <c r="F188" s="125">
        <v>9</v>
      </c>
      <c r="G188" s="202">
        <v>35</v>
      </c>
      <c r="H188" s="203">
        <f>+$K$3</f>
        <v>3.0958330474702616E-4</v>
      </c>
      <c r="I188" s="203">
        <f t="shared" si="70"/>
        <v>5.1131360104153957E-4</v>
      </c>
      <c r="J188" s="204">
        <f t="shared" si="55"/>
        <v>1.7895976036453886E-2</v>
      </c>
      <c r="K188" s="205">
        <f t="shared" si="49"/>
        <v>1.0835415666145915E-2</v>
      </c>
      <c r="L188" s="206">
        <f t="shared" si="69"/>
        <v>7.0605603703079705E-3</v>
      </c>
      <c r="M188" s="207">
        <f t="shared" si="56"/>
        <v>2.5212967644397882E-4</v>
      </c>
      <c r="N188" s="208">
        <f t="shared" si="57"/>
        <v>7.3126900467519497E-3</v>
      </c>
      <c r="O188" s="207">
        <f t="shared" si="58"/>
        <v>0</v>
      </c>
      <c r="P188" s="207">
        <f t="shared" si="59"/>
        <v>0</v>
      </c>
      <c r="Q188" s="207">
        <v>0</v>
      </c>
      <c r="R188" s="208">
        <f t="shared" si="60"/>
        <v>7.3126900467519497E-3</v>
      </c>
    </row>
    <row r="189" spans="1:18" x14ac:dyDescent="0.2">
      <c r="A189" s="162">
        <v>2</v>
      </c>
      <c r="B189" s="199">
        <f t="shared" si="54"/>
        <v>44228</v>
      </c>
      <c r="C189" s="222">
        <f t="shared" si="71"/>
        <v>44258</v>
      </c>
      <c r="D189" s="222">
        <f t="shared" si="71"/>
        <v>44279</v>
      </c>
      <c r="E189" s="209" t="s">
        <v>58</v>
      </c>
      <c r="F189" s="162">
        <v>9</v>
      </c>
      <c r="G189" s="202">
        <v>33</v>
      </c>
      <c r="H189" s="203">
        <f t="shared" ref="H189:H199" si="72">+$K$3</f>
        <v>3.0958330474702616E-4</v>
      </c>
      <c r="I189" s="203">
        <f t="shared" si="70"/>
        <v>5.1131360104153957E-4</v>
      </c>
      <c r="J189" s="204">
        <f t="shared" si="55"/>
        <v>1.6873348834370805E-2</v>
      </c>
      <c r="K189" s="205">
        <f t="shared" si="49"/>
        <v>1.0216249056651864E-2</v>
      </c>
      <c r="L189" s="206">
        <f t="shared" si="69"/>
        <v>6.657099777718941E-3</v>
      </c>
      <c r="M189" s="207">
        <f t="shared" si="56"/>
        <v>2.3772226636146571E-4</v>
      </c>
      <c r="N189" s="208">
        <f t="shared" si="57"/>
        <v>6.894822044080407E-3</v>
      </c>
      <c r="O189" s="207">
        <f t="shared" si="58"/>
        <v>0</v>
      </c>
      <c r="P189" s="207">
        <f t="shared" si="59"/>
        <v>0</v>
      </c>
      <c r="Q189" s="207">
        <v>0</v>
      </c>
      <c r="R189" s="208">
        <f t="shared" si="60"/>
        <v>6.894822044080407E-3</v>
      </c>
    </row>
    <row r="190" spans="1:18" x14ac:dyDescent="0.2">
      <c r="A190" s="162">
        <v>3</v>
      </c>
      <c r="B190" s="199">
        <f t="shared" si="54"/>
        <v>44256</v>
      </c>
      <c r="C190" s="222">
        <f t="shared" si="71"/>
        <v>44291</v>
      </c>
      <c r="D190" s="222">
        <f t="shared" si="71"/>
        <v>44312</v>
      </c>
      <c r="E190" s="209" t="s">
        <v>58</v>
      </c>
      <c r="F190" s="162">
        <v>9</v>
      </c>
      <c r="G190" s="202">
        <v>30</v>
      </c>
      <c r="H190" s="203">
        <f t="shared" si="72"/>
        <v>3.0958330474702616E-4</v>
      </c>
      <c r="I190" s="203">
        <f t="shared" si="70"/>
        <v>5.1131360104153957E-4</v>
      </c>
      <c r="J190" s="204">
        <f t="shared" si="55"/>
        <v>1.5339408031246187E-2</v>
      </c>
      <c r="K190" s="205">
        <f t="shared" si="49"/>
        <v>9.2874991424107857E-3</v>
      </c>
      <c r="L190" s="206">
        <f>+J190-K190</f>
        <v>6.0519088888354011E-3</v>
      </c>
      <c r="M190" s="207">
        <f t="shared" si="56"/>
        <v>2.1611115123769612E-4</v>
      </c>
      <c r="N190" s="208">
        <f t="shared" si="57"/>
        <v>6.2680200400730968E-3</v>
      </c>
      <c r="O190" s="207">
        <f t="shared" si="58"/>
        <v>0</v>
      </c>
      <c r="P190" s="207">
        <f t="shared" si="59"/>
        <v>0</v>
      </c>
      <c r="Q190" s="207">
        <v>0</v>
      </c>
      <c r="R190" s="208">
        <f t="shared" si="60"/>
        <v>6.2680200400730968E-3</v>
      </c>
    </row>
    <row r="191" spans="1:18" x14ac:dyDescent="0.2">
      <c r="A191" s="125">
        <v>4</v>
      </c>
      <c r="B191" s="199">
        <f t="shared" si="54"/>
        <v>44287</v>
      </c>
      <c r="C191" s="222">
        <f t="shared" si="71"/>
        <v>44321</v>
      </c>
      <c r="D191" s="222">
        <f t="shared" si="71"/>
        <v>44340</v>
      </c>
      <c r="E191" s="54" t="s">
        <v>58</v>
      </c>
      <c r="F191" s="162">
        <v>9</v>
      </c>
      <c r="G191" s="202">
        <v>32</v>
      </c>
      <c r="H191" s="203">
        <f t="shared" si="72"/>
        <v>3.0958330474702616E-4</v>
      </c>
      <c r="I191" s="203">
        <f t="shared" si="70"/>
        <v>5.1131360104153957E-4</v>
      </c>
      <c r="J191" s="204">
        <f t="shared" si="55"/>
        <v>1.6362035233329266E-2</v>
      </c>
      <c r="K191" s="205">
        <f t="shared" si="49"/>
        <v>9.9066657519048373E-3</v>
      </c>
      <c r="L191" s="206">
        <f t="shared" ref="L191:L201" si="73">+J191-K191</f>
        <v>6.4553694814244288E-3</v>
      </c>
      <c r="M191" s="207">
        <f t="shared" si="56"/>
        <v>2.3051856132020918E-4</v>
      </c>
      <c r="N191" s="208">
        <f t="shared" si="57"/>
        <v>6.6858880427446378E-3</v>
      </c>
      <c r="O191" s="207">
        <f t="shared" si="58"/>
        <v>0</v>
      </c>
      <c r="P191" s="207">
        <f t="shared" si="59"/>
        <v>0</v>
      </c>
      <c r="Q191" s="207">
        <v>0</v>
      </c>
      <c r="R191" s="208">
        <f t="shared" si="60"/>
        <v>6.6858880427446378E-3</v>
      </c>
    </row>
    <row r="192" spans="1:18" x14ac:dyDescent="0.2">
      <c r="A192" s="162">
        <v>5</v>
      </c>
      <c r="B192" s="199">
        <f t="shared" si="54"/>
        <v>44317</v>
      </c>
      <c r="C192" s="222">
        <f t="shared" si="71"/>
        <v>44350</v>
      </c>
      <c r="D192" s="222">
        <f t="shared" si="71"/>
        <v>44371</v>
      </c>
      <c r="E192" s="54" t="s">
        <v>58</v>
      </c>
      <c r="F192" s="162">
        <v>9</v>
      </c>
      <c r="G192" s="202">
        <v>40</v>
      </c>
      <c r="H192" s="203">
        <f t="shared" si="72"/>
        <v>3.0958330474702616E-4</v>
      </c>
      <c r="I192" s="203">
        <f t="shared" si="70"/>
        <v>5.1131360104153957E-4</v>
      </c>
      <c r="J192" s="204">
        <f t="shared" si="55"/>
        <v>2.0452544041661583E-2</v>
      </c>
      <c r="K192" s="205">
        <f t="shared" si="49"/>
        <v>1.2383332189881047E-2</v>
      </c>
      <c r="L192" s="206">
        <f t="shared" si="73"/>
        <v>8.0692118517805365E-3</v>
      </c>
      <c r="M192" s="207">
        <f t="shared" si="56"/>
        <v>2.8814820165026149E-4</v>
      </c>
      <c r="N192" s="208">
        <f t="shared" si="57"/>
        <v>8.3573600534307974E-3</v>
      </c>
      <c r="O192" s="207">
        <f t="shared" si="58"/>
        <v>0</v>
      </c>
      <c r="P192" s="207">
        <f t="shared" si="59"/>
        <v>0</v>
      </c>
      <c r="Q192" s="207">
        <v>0</v>
      </c>
      <c r="R192" s="208">
        <f t="shared" si="60"/>
        <v>8.3573600534307974E-3</v>
      </c>
    </row>
    <row r="193" spans="1:18" x14ac:dyDescent="0.2">
      <c r="A193" s="162">
        <v>6</v>
      </c>
      <c r="B193" s="199">
        <f t="shared" si="54"/>
        <v>44348</v>
      </c>
      <c r="C193" s="222">
        <f t="shared" si="71"/>
        <v>44383</v>
      </c>
      <c r="D193" s="222">
        <f t="shared" si="71"/>
        <v>44401</v>
      </c>
      <c r="E193" s="54" t="s">
        <v>58</v>
      </c>
      <c r="F193" s="162">
        <v>9</v>
      </c>
      <c r="G193" s="202">
        <v>46</v>
      </c>
      <c r="H193" s="203">
        <f t="shared" si="72"/>
        <v>3.0958330474702616E-4</v>
      </c>
      <c r="I193" s="203">
        <f t="shared" si="70"/>
        <v>5.1131360104153957E-4</v>
      </c>
      <c r="J193" s="204">
        <f t="shared" si="55"/>
        <v>2.352042564791082E-2</v>
      </c>
      <c r="K193" s="205">
        <f t="shared" si="49"/>
        <v>1.4240832018363203E-2</v>
      </c>
      <c r="L193" s="210">
        <f t="shared" si="73"/>
        <v>9.2795936295476163E-3</v>
      </c>
      <c r="M193" s="207">
        <f t="shared" si="56"/>
        <v>3.3137043189780072E-4</v>
      </c>
      <c r="N193" s="208">
        <f t="shared" si="57"/>
        <v>9.6109640614454178E-3</v>
      </c>
      <c r="O193" s="207">
        <f t="shared" si="58"/>
        <v>0</v>
      </c>
      <c r="P193" s="207">
        <f t="shared" si="59"/>
        <v>0</v>
      </c>
      <c r="Q193" s="207">
        <v>0</v>
      </c>
      <c r="R193" s="208">
        <f t="shared" si="60"/>
        <v>9.6109640614454178E-3</v>
      </c>
    </row>
    <row r="194" spans="1:18" x14ac:dyDescent="0.2">
      <c r="A194" s="125">
        <v>7</v>
      </c>
      <c r="B194" s="199">
        <f t="shared" si="54"/>
        <v>44378</v>
      </c>
      <c r="C194" s="222">
        <f t="shared" si="71"/>
        <v>44412</v>
      </c>
      <c r="D194" s="222">
        <f t="shared" si="71"/>
        <v>44432</v>
      </c>
      <c r="E194" s="54" t="s">
        <v>58</v>
      </c>
      <c r="F194" s="162">
        <v>9</v>
      </c>
      <c r="G194" s="202">
        <v>48</v>
      </c>
      <c r="H194" s="203">
        <f t="shared" si="72"/>
        <v>3.0958330474702616E-4</v>
      </c>
      <c r="I194" s="203">
        <f t="shared" si="70"/>
        <v>5.1131360104153957E-4</v>
      </c>
      <c r="J194" s="204">
        <f t="shared" si="55"/>
        <v>2.4543052849993897E-2</v>
      </c>
      <c r="K194" s="211">
        <f t="shared" si="49"/>
        <v>1.4859998627857255E-2</v>
      </c>
      <c r="L194" s="210">
        <f t="shared" si="73"/>
        <v>9.6830542221366424E-3</v>
      </c>
      <c r="M194" s="207">
        <f t="shared" si="56"/>
        <v>3.4577784198031378E-4</v>
      </c>
      <c r="N194" s="208">
        <f t="shared" si="57"/>
        <v>1.0028832064116956E-2</v>
      </c>
      <c r="O194" s="207">
        <f t="shared" si="58"/>
        <v>0</v>
      </c>
      <c r="P194" s="207">
        <f t="shared" si="59"/>
        <v>0</v>
      </c>
      <c r="Q194" s="207">
        <v>0</v>
      </c>
      <c r="R194" s="208">
        <f t="shared" si="60"/>
        <v>1.0028832064116956E-2</v>
      </c>
    </row>
    <row r="195" spans="1:18" x14ac:dyDescent="0.2">
      <c r="A195" s="162">
        <v>8</v>
      </c>
      <c r="B195" s="199">
        <f t="shared" si="54"/>
        <v>44409</v>
      </c>
      <c r="C195" s="222">
        <f t="shared" si="71"/>
        <v>44442</v>
      </c>
      <c r="D195" s="222">
        <f t="shared" si="71"/>
        <v>44463</v>
      </c>
      <c r="E195" s="54" t="s">
        <v>58</v>
      </c>
      <c r="F195" s="162">
        <v>9</v>
      </c>
      <c r="G195" s="202">
        <v>50</v>
      </c>
      <c r="H195" s="203">
        <f t="shared" si="72"/>
        <v>3.0958330474702616E-4</v>
      </c>
      <c r="I195" s="203">
        <f t="shared" si="70"/>
        <v>5.1131360104153957E-4</v>
      </c>
      <c r="J195" s="204">
        <f t="shared" si="55"/>
        <v>2.5565680052076978E-2</v>
      </c>
      <c r="K195" s="211">
        <f t="shared" si="49"/>
        <v>1.5479165237351308E-2</v>
      </c>
      <c r="L195" s="210">
        <f t="shared" si="73"/>
        <v>1.008651481472567E-2</v>
      </c>
      <c r="M195" s="207">
        <f t="shared" si="56"/>
        <v>3.6018525206282689E-4</v>
      </c>
      <c r="N195" s="208">
        <f t="shared" si="57"/>
        <v>1.0446700066788496E-2</v>
      </c>
      <c r="O195" s="207">
        <f t="shared" si="58"/>
        <v>0</v>
      </c>
      <c r="P195" s="207">
        <f t="shared" si="59"/>
        <v>0</v>
      </c>
      <c r="Q195" s="207">
        <v>0</v>
      </c>
      <c r="R195" s="208">
        <f t="shared" si="60"/>
        <v>1.0446700066788496E-2</v>
      </c>
    </row>
    <row r="196" spans="1:18" x14ac:dyDescent="0.2">
      <c r="A196" s="162">
        <v>9</v>
      </c>
      <c r="B196" s="199">
        <f t="shared" si="54"/>
        <v>44440</v>
      </c>
      <c r="C196" s="222">
        <f t="shared" si="71"/>
        <v>44474</v>
      </c>
      <c r="D196" s="222">
        <f t="shared" si="71"/>
        <v>44494</v>
      </c>
      <c r="E196" s="54" t="s">
        <v>58</v>
      </c>
      <c r="F196" s="162">
        <v>9</v>
      </c>
      <c r="G196" s="202">
        <v>52</v>
      </c>
      <c r="H196" s="203">
        <f t="shared" si="72"/>
        <v>3.0958330474702616E-4</v>
      </c>
      <c r="I196" s="203">
        <f t="shared" si="70"/>
        <v>5.1131360104153957E-4</v>
      </c>
      <c r="J196" s="204">
        <f t="shared" si="55"/>
        <v>2.6588307254160056E-2</v>
      </c>
      <c r="K196" s="211">
        <f t="shared" si="49"/>
        <v>1.6098331846845362E-2</v>
      </c>
      <c r="L196" s="210">
        <f t="shared" si="73"/>
        <v>1.0489975407314694E-2</v>
      </c>
      <c r="M196" s="207">
        <f t="shared" si="56"/>
        <v>3.7459266214533995E-4</v>
      </c>
      <c r="N196" s="208">
        <f t="shared" si="57"/>
        <v>1.0864568069460035E-2</v>
      </c>
      <c r="O196" s="207">
        <f t="shared" si="58"/>
        <v>0</v>
      </c>
      <c r="P196" s="207">
        <f t="shared" si="59"/>
        <v>0</v>
      </c>
      <c r="Q196" s="207">
        <v>0</v>
      </c>
      <c r="R196" s="208">
        <f t="shared" si="60"/>
        <v>1.0864568069460035E-2</v>
      </c>
    </row>
    <row r="197" spans="1:18" x14ac:dyDescent="0.2">
      <c r="A197" s="125">
        <v>10</v>
      </c>
      <c r="B197" s="199">
        <f t="shared" si="54"/>
        <v>44470</v>
      </c>
      <c r="C197" s="222">
        <f t="shared" si="71"/>
        <v>44503</v>
      </c>
      <c r="D197" s="222">
        <f t="shared" si="71"/>
        <v>44524</v>
      </c>
      <c r="E197" s="54" t="s">
        <v>58</v>
      </c>
      <c r="F197" s="162">
        <v>9</v>
      </c>
      <c r="G197" s="202">
        <v>40</v>
      </c>
      <c r="H197" s="203">
        <f t="shared" si="72"/>
        <v>3.0958330474702616E-4</v>
      </c>
      <c r="I197" s="203">
        <f t="shared" si="70"/>
        <v>5.1131360104153957E-4</v>
      </c>
      <c r="J197" s="204">
        <f t="shared" si="55"/>
        <v>2.0452544041661583E-2</v>
      </c>
      <c r="K197" s="211">
        <f t="shared" si="49"/>
        <v>1.2383332189881047E-2</v>
      </c>
      <c r="L197" s="210">
        <f t="shared" si="73"/>
        <v>8.0692118517805365E-3</v>
      </c>
      <c r="M197" s="207">
        <f t="shared" si="56"/>
        <v>2.8814820165026149E-4</v>
      </c>
      <c r="N197" s="208">
        <f t="shared" si="57"/>
        <v>8.3573600534307974E-3</v>
      </c>
      <c r="O197" s="207">
        <f t="shared" si="58"/>
        <v>0</v>
      </c>
      <c r="P197" s="207">
        <f t="shared" si="59"/>
        <v>0</v>
      </c>
      <c r="Q197" s="207">
        <v>0</v>
      </c>
      <c r="R197" s="208">
        <f t="shared" si="60"/>
        <v>8.3573600534307974E-3</v>
      </c>
    </row>
    <row r="198" spans="1:18" x14ac:dyDescent="0.2">
      <c r="A198" s="162">
        <v>11</v>
      </c>
      <c r="B198" s="199">
        <f t="shared" si="54"/>
        <v>44501</v>
      </c>
      <c r="C198" s="222">
        <f t="shared" si="71"/>
        <v>44533</v>
      </c>
      <c r="D198" s="222">
        <f t="shared" si="71"/>
        <v>44557</v>
      </c>
      <c r="E198" s="54" t="s">
        <v>58</v>
      </c>
      <c r="F198" s="162">
        <v>9</v>
      </c>
      <c r="G198" s="202">
        <v>32</v>
      </c>
      <c r="H198" s="203">
        <f t="shared" si="72"/>
        <v>3.0958330474702616E-4</v>
      </c>
      <c r="I198" s="203">
        <f t="shared" si="70"/>
        <v>5.1131360104153957E-4</v>
      </c>
      <c r="J198" s="204">
        <f t="shared" si="55"/>
        <v>1.6362035233329266E-2</v>
      </c>
      <c r="K198" s="211">
        <f t="shared" ref="K198:K209" si="74">+$G198*H198</f>
        <v>9.9066657519048373E-3</v>
      </c>
      <c r="L198" s="210">
        <f t="shared" si="73"/>
        <v>6.4553694814244288E-3</v>
      </c>
      <c r="M198" s="207">
        <f t="shared" si="56"/>
        <v>2.3051856132020918E-4</v>
      </c>
      <c r="N198" s="208">
        <f t="shared" si="57"/>
        <v>6.6858880427446378E-3</v>
      </c>
      <c r="O198" s="207">
        <f t="shared" si="58"/>
        <v>0</v>
      </c>
      <c r="P198" s="207">
        <f t="shared" si="59"/>
        <v>0</v>
      </c>
      <c r="Q198" s="207">
        <v>0</v>
      </c>
      <c r="R198" s="208">
        <f t="shared" si="60"/>
        <v>6.6858880427446378E-3</v>
      </c>
    </row>
    <row r="199" spans="1:18" s="226" customFormat="1" x14ac:dyDescent="0.2">
      <c r="A199" s="162">
        <v>12</v>
      </c>
      <c r="B199" s="224">
        <f t="shared" si="54"/>
        <v>44531</v>
      </c>
      <c r="C199" s="222">
        <f t="shared" si="71"/>
        <v>44566</v>
      </c>
      <c r="D199" s="222">
        <f t="shared" si="71"/>
        <v>44585</v>
      </c>
      <c r="E199" s="225" t="s">
        <v>58</v>
      </c>
      <c r="F199" s="173">
        <v>9</v>
      </c>
      <c r="G199" s="202">
        <v>35</v>
      </c>
      <c r="H199" s="214">
        <f t="shared" si="72"/>
        <v>3.0958330474702616E-4</v>
      </c>
      <c r="I199" s="214">
        <f t="shared" si="70"/>
        <v>5.1131360104153957E-4</v>
      </c>
      <c r="J199" s="215">
        <f t="shared" si="55"/>
        <v>1.7895976036453886E-2</v>
      </c>
      <c r="K199" s="216">
        <f t="shared" si="74"/>
        <v>1.0835415666145915E-2</v>
      </c>
      <c r="L199" s="217">
        <f t="shared" si="73"/>
        <v>7.0605603703079705E-3</v>
      </c>
      <c r="M199" s="207">
        <f t="shared" si="56"/>
        <v>2.5212967644397882E-4</v>
      </c>
      <c r="N199" s="208">
        <f t="shared" si="57"/>
        <v>7.3126900467519497E-3</v>
      </c>
      <c r="O199" s="207">
        <f t="shared" si="58"/>
        <v>0</v>
      </c>
      <c r="P199" s="207">
        <f t="shared" si="59"/>
        <v>0</v>
      </c>
      <c r="Q199" s="207">
        <v>0</v>
      </c>
      <c r="R199" s="208">
        <f t="shared" si="60"/>
        <v>7.3126900467519497E-3</v>
      </c>
    </row>
    <row r="200" spans="1:18" x14ac:dyDescent="0.2">
      <c r="A200" s="125">
        <v>1</v>
      </c>
      <c r="B200" s="199">
        <f t="shared" si="54"/>
        <v>44197</v>
      </c>
      <c r="C200" s="219">
        <f t="shared" si="71"/>
        <v>44230</v>
      </c>
      <c r="D200" s="219">
        <f t="shared" si="71"/>
        <v>44251</v>
      </c>
      <c r="E200" s="201" t="s">
        <v>17</v>
      </c>
      <c r="F200" s="125">
        <v>9</v>
      </c>
      <c r="G200" s="202">
        <v>94</v>
      </c>
      <c r="H200" s="203">
        <f>+$K$3</f>
        <v>3.0958330474702616E-4</v>
      </c>
      <c r="I200" s="203">
        <f t="shared" si="70"/>
        <v>5.1131360104153957E-4</v>
      </c>
      <c r="J200" s="204">
        <f t="shared" si="55"/>
        <v>4.8063478497904717E-2</v>
      </c>
      <c r="K200" s="205">
        <f t="shared" si="74"/>
        <v>2.910083064622046E-2</v>
      </c>
      <c r="L200" s="206">
        <f t="shared" si="73"/>
        <v>1.8962647851684257E-2</v>
      </c>
      <c r="M200" s="207">
        <f t="shared" si="56"/>
        <v>6.7714827387811455E-4</v>
      </c>
      <c r="N200" s="208">
        <f t="shared" si="57"/>
        <v>1.9639796125562371E-2</v>
      </c>
      <c r="O200" s="207">
        <f t="shared" si="58"/>
        <v>0</v>
      </c>
      <c r="P200" s="207">
        <f t="shared" si="59"/>
        <v>0</v>
      </c>
      <c r="Q200" s="207">
        <v>0</v>
      </c>
      <c r="R200" s="208">
        <f t="shared" si="60"/>
        <v>1.9639796125562371E-2</v>
      </c>
    </row>
    <row r="201" spans="1:18" x14ac:dyDescent="0.2">
      <c r="A201" s="162">
        <v>2</v>
      </c>
      <c r="B201" s="199">
        <f t="shared" si="54"/>
        <v>44228</v>
      </c>
      <c r="C201" s="222">
        <f t="shared" si="71"/>
        <v>44258</v>
      </c>
      <c r="D201" s="222">
        <f t="shared" si="71"/>
        <v>44279</v>
      </c>
      <c r="E201" s="209" t="s">
        <v>17</v>
      </c>
      <c r="F201" s="162">
        <v>9</v>
      </c>
      <c r="G201" s="202">
        <v>100</v>
      </c>
      <c r="H201" s="203">
        <f t="shared" ref="H201:H211" si="75">+$K$3</f>
        <v>3.0958330474702616E-4</v>
      </c>
      <c r="I201" s="203">
        <f t="shared" si="70"/>
        <v>5.1131360104153957E-4</v>
      </c>
      <c r="J201" s="204">
        <f t="shared" si="55"/>
        <v>5.1131360104153957E-2</v>
      </c>
      <c r="K201" s="205">
        <f t="shared" si="74"/>
        <v>3.0958330474702617E-2</v>
      </c>
      <c r="L201" s="206">
        <f t="shared" si="73"/>
        <v>2.017302962945134E-2</v>
      </c>
      <c r="M201" s="207">
        <f t="shared" si="56"/>
        <v>7.2037050412565378E-4</v>
      </c>
      <c r="N201" s="208">
        <f t="shared" si="57"/>
        <v>2.0893400133576993E-2</v>
      </c>
      <c r="O201" s="207">
        <f t="shared" si="58"/>
        <v>0</v>
      </c>
      <c r="P201" s="207">
        <f t="shared" si="59"/>
        <v>0</v>
      </c>
      <c r="Q201" s="207">
        <v>0</v>
      </c>
      <c r="R201" s="208">
        <f t="shared" si="60"/>
        <v>2.0893400133576993E-2</v>
      </c>
    </row>
    <row r="202" spans="1:18" x14ac:dyDescent="0.2">
      <c r="A202" s="162">
        <v>3</v>
      </c>
      <c r="B202" s="199">
        <f t="shared" si="54"/>
        <v>44256</v>
      </c>
      <c r="C202" s="222">
        <f t="shared" si="71"/>
        <v>44291</v>
      </c>
      <c r="D202" s="222">
        <f t="shared" si="71"/>
        <v>44312</v>
      </c>
      <c r="E202" s="209" t="s">
        <v>17</v>
      </c>
      <c r="F202" s="162">
        <v>9</v>
      </c>
      <c r="G202" s="202">
        <v>101</v>
      </c>
      <c r="H202" s="203">
        <f t="shared" si="75"/>
        <v>3.0958330474702616E-4</v>
      </c>
      <c r="I202" s="203">
        <f t="shared" si="70"/>
        <v>5.1131360104153957E-4</v>
      </c>
      <c r="J202" s="204">
        <f t="shared" si="55"/>
        <v>5.1642673705195499E-2</v>
      </c>
      <c r="K202" s="205">
        <f t="shared" si="74"/>
        <v>3.1267913779449645E-2</v>
      </c>
      <c r="L202" s="206">
        <f>+J202-K202</f>
        <v>2.0374759925745854E-2</v>
      </c>
      <c r="M202" s="207">
        <f t="shared" si="56"/>
        <v>7.2757420916691028E-4</v>
      </c>
      <c r="N202" s="208">
        <f t="shared" si="57"/>
        <v>2.1102334134912765E-2</v>
      </c>
      <c r="O202" s="207">
        <f t="shared" si="58"/>
        <v>0</v>
      </c>
      <c r="P202" s="207">
        <f t="shared" si="59"/>
        <v>0</v>
      </c>
      <c r="Q202" s="207">
        <v>0</v>
      </c>
      <c r="R202" s="208">
        <f t="shared" si="60"/>
        <v>2.1102334134912765E-2</v>
      </c>
    </row>
    <row r="203" spans="1:18" x14ac:dyDescent="0.2">
      <c r="A203" s="125">
        <v>4</v>
      </c>
      <c r="B203" s="199">
        <f t="shared" si="54"/>
        <v>44287</v>
      </c>
      <c r="C203" s="222">
        <f t="shared" si="71"/>
        <v>44321</v>
      </c>
      <c r="D203" s="222">
        <f t="shared" si="71"/>
        <v>44340</v>
      </c>
      <c r="E203" s="209" t="s">
        <v>17</v>
      </c>
      <c r="F203" s="162">
        <v>9</v>
      </c>
      <c r="G203" s="202">
        <v>98</v>
      </c>
      <c r="H203" s="203">
        <f t="shared" si="75"/>
        <v>3.0958330474702616E-4</v>
      </c>
      <c r="I203" s="203">
        <f t="shared" si="70"/>
        <v>5.1131360104153957E-4</v>
      </c>
      <c r="J203" s="204">
        <f t="shared" si="55"/>
        <v>5.0108732902070879E-2</v>
      </c>
      <c r="K203" s="205">
        <f t="shared" si="74"/>
        <v>3.0339163865208563E-2</v>
      </c>
      <c r="L203" s="206">
        <f t="shared" ref="L203:L211" si="76">+J203-K203</f>
        <v>1.9769569036862316E-2</v>
      </c>
      <c r="M203" s="207">
        <f t="shared" si="56"/>
        <v>7.0596309404314067E-4</v>
      </c>
      <c r="N203" s="208">
        <f t="shared" si="57"/>
        <v>2.0475532130905458E-2</v>
      </c>
      <c r="O203" s="207">
        <f t="shared" si="58"/>
        <v>0</v>
      </c>
      <c r="P203" s="207">
        <f t="shared" si="59"/>
        <v>0</v>
      </c>
      <c r="Q203" s="207">
        <v>0</v>
      </c>
      <c r="R203" s="208">
        <f t="shared" si="60"/>
        <v>2.0475532130905458E-2</v>
      </c>
    </row>
    <row r="204" spans="1:18" x14ac:dyDescent="0.2">
      <c r="A204" s="162">
        <v>5</v>
      </c>
      <c r="B204" s="199">
        <f t="shared" si="54"/>
        <v>44317</v>
      </c>
      <c r="C204" s="222">
        <f t="shared" si="71"/>
        <v>44350</v>
      </c>
      <c r="D204" s="222">
        <f t="shared" si="71"/>
        <v>44371</v>
      </c>
      <c r="E204" s="54" t="s">
        <v>17</v>
      </c>
      <c r="F204" s="162">
        <v>9</v>
      </c>
      <c r="G204" s="202">
        <v>99</v>
      </c>
      <c r="H204" s="203">
        <f t="shared" si="75"/>
        <v>3.0958330474702616E-4</v>
      </c>
      <c r="I204" s="203">
        <f t="shared" si="70"/>
        <v>5.1131360104153957E-4</v>
      </c>
      <c r="J204" s="204">
        <f t="shared" si="55"/>
        <v>5.0620046503112415E-2</v>
      </c>
      <c r="K204" s="205">
        <f t="shared" si="74"/>
        <v>3.0648747169955592E-2</v>
      </c>
      <c r="L204" s="206">
        <f t="shared" si="76"/>
        <v>1.9971299333156823E-2</v>
      </c>
      <c r="M204" s="207">
        <f t="shared" si="56"/>
        <v>7.1316679908439728E-4</v>
      </c>
      <c r="N204" s="208">
        <f t="shared" si="57"/>
        <v>2.068446613224122E-2</v>
      </c>
      <c r="O204" s="207">
        <f t="shared" si="58"/>
        <v>0</v>
      </c>
      <c r="P204" s="207">
        <f t="shared" si="59"/>
        <v>0</v>
      </c>
      <c r="Q204" s="207">
        <v>0</v>
      </c>
      <c r="R204" s="208">
        <f t="shared" si="60"/>
        <v>2.068446613224122E-2</v>
      </c>
    </row>
    <row r="205" spans="1:18" x14ac:dyDescent="0.2">
      <c r="A205" s="162">
        <v>6</v>
      </c>
      <c r="B205" s="199">
        <f t="shared" si="54"/>
        <v>44348</v>
      </c>
      <c r="C205" s="222">
        <f t="shared" si="71"/>
        <v>44383</v>
      </c>
      <c r="D205" s="222">
        <f t="shared" si="71"/>
        <v>44401</v>
      </c>
      <c r="E205" s="54" t="s">
        <v>17</v>
      </c>
      <c r="F205" s="162">
        <v>9</v>
      </c>
      <c r="G205" s="202">
        <v>113</v>
      </c>
      <c r="H205" s="203">
        <f t="shared" si="75"/>
        <v>3.0958330474702616E-4</v>
      </c>
      <c r="I205" s="203">
        <f t="shared" si="70"/>
        <v>5.1131360104153957E-4</v>
      </c>
      <c r="J205" s="204">
        <f t="shared" si="55"/>
        <v>5.7778436917693972E-2</v>
      </c>
      <c r="K205" s="205">
        <f t="shared" si="74"/>
        <v>3.4982913436413958E-2</v>
      </c>
      <c r="L205" s="210">
        <f t="shared" si="76"/>
        <v>2.2795523481280014E-2</v>
      </c>
      <c r="M205" s="207">
        <f t="shared" si="56"/>
        <v>8.1401866966198874E-4</v>
      </c>
      <c r="N205" s="208">
        <f t="shared" si="57"/>
        <v>2.3609542150942003E-2</v>
      </c>
      <c r="O205" s="207">
        <f t="shared" si="58"/>
        <v>0</v>
      </c>
      <c r="P205" s="207">
        <f t="shared" si="59"/>
        <v>0</v>
      </c>
      <c r="Q205" s="207">
        <v>0</v>
      </c>
      <c r="R205" s="208">
        <f t="shared" si="60"/>
        <v>2.3609542150942003E-2</v>
      </c>
    </row>
    <row r="206" spans="1:18" x14ac:dyDescent="0.2">
      <c r="A206" s="125">
        <v>7</v>
      </c>
      <c r="B206" s="199">
        <f t="shared" si="54"/>
        <v>44378</v>
      </c>
      <c r="C206" s="222">
        <f t="shared" si="71"/>
        <v>44412</v>
      </c>
      <c r="D206" s="222">
        <f t="shared" si="71"/>
        <v>44432</v>
      </c>
      <c r="E206" s="54" t="s">
        <v>17</v>
      </c>
      <c r="F206" s="162">
        <v>9</v>
      </c>
      <c r="G206" s="202">
        <v>116</v>
      </c>
      <c r="H206" s="203">
        <f t="shared" si="75"/>
        <v>3.0958330474702616E-4</v>
      </c>
      <c r="I206" s="203">
        <f t="shared" si="70"/>
        <v>5.1131360104153957E-4</v>
      </c>
      <c r="J206" s="204">
        <f t="shared" si="55"/>
        <v>5.9312377720818592E-2</v>
      </c>
      <c r="K206" s="211">
        <f t="shared" si="74"/>
        <v>3.5911663350655036E-2</v>
      </c>
      <c r="L206" s="210">
        <f t="shared" si="76"/>
        <v>2.3400714370163556E-2</v>
      </c>
      <c r="M206" s="207">
        <f t="shared" si="56"/>
        <v>8.3562978478575836E-4</v>
      </c>
      <c r="N206" s="208">
        <f t="shared" si="57"/>
        <v>2.4236344154949314E-2</v>
      </c>
      <c r="O206" s="207">
        <f t="shared" si="58"/>
        <v>0</v>
      </c>
      <c r="P206" s="207">
        <f t="shared" si="59"/>
        <v>0</v>
      </c>
      <c r="Q206" s="207">
        <v>0</v>
      </c>
      <c r="R206" s="208">
        <f t="shared" si="60"/>
        <v>2.4236344154949314E-2</v>
      </c>
    </row>
    <row r="207" spans="1:18" x14ac:dyDescent="0.2">
      <c r="A207" s="162">
        <v>8</v>
      </c>
      <c r="B207" s="199">
        <f t="shared" si="54"/>
        <v>44409</v>
      </c>
      <c r="C207" s="222">
        <f t="shared" si="71"/>
        <v>44442</v>
      </c>
      <c r="D207" s="222">
        <f t="shared" si="71"/>
        <v>44463</v>
      </c>
      <c r="E207" s="54" t="s">
        <v>17</v>
      </c>
      <c r="F207" s="162">
        <v>9</v>
      </c>
      <c r="G207" s="202">
        <v>116</v>
      </c>
      <c r="H207" s="203">
        <f t="shared" si="75"/>
        <v>3.0958330474702616E-4</v>
      </c>
      <c r="I207" s="203">
        <f t="shared" si="70"/>
        <v>5.1131360104153957E-4</v>
      </c>
      <c r="J207" s="204">
        <f t="shared" si="55"/>
        <v>5.9312377720818592E-2</v>
      </c>
      <c r="K207" s="211">
        <f t="shared" si="74"/>
        <v>3.5911663350655036E-2</v>
      </c>
      <c r="L207" s="210">
        <f t="shared" si="76"/>
        <v>2.3400714370163556E-2</v>
      </c>
      <c r="M207" s="207">
        <f t="shared" si="56"/>
        <v>8.3562978478575836E-4</v>
      </c>
      <c r="N207" s="208">
        <f t="shared" si="57"/>
        <v>2.4236344154949314E-2</v>
      </c>
      <c r="O207" s="207">
        <f t="shared" si="58"/>
        <v>0</v>
      </c>
      <c r="P207" s="207">
        <f t="shared" si="59"/>
        <v>0</v>
      </c>
      <c r="Q207" s="207">
        <v>0</v>
      </c>
      <c r="R207" s="208">
        <f t="shared" si="60"/>
        <v>2.4236344154949314E-2</v>
      </c>
    </row>
    <row r="208" spans="1:18" x14ac:dyDescent="0.2">
      <c r="A208" s="162">
        <v>9</v>
      </c>
      <c r="B208" s="199">
        <f t="shared" si="54"/>
        <v>44440</v>
      </c>
      <c r="C208" s="222">
        <f t="shared" si="71"/>
        <v>44474</v>
      </c>
      <c r="D208" s="222">
        <f t="shared" si="71"/>
        <v>44494</v>
      </c>
      <c r="E208" s="54" t="s">
        <v>17</v>
      </c>
      <c r="F208" s="162">
        <v>9</v>
      </c>
      <c r="G208" s="202">
        <v>116</v>
      </c>
      <c r="H208" s="203">
        <f t="shared" si="75"/>
        <v>3.0958330474702616E-4</v>
      </c>
      <c r="I208" s="203">
        <f t="shared" si="70"/>
        <v>5.1131360104153957E-4</v>
      </c>
      <c r="J208" s="204">
        <f t="shared" si="55"/>
        <v>5.9312377720818592E-2</v>
      </c>
      <c r="K208" s="211">
        <f t="shared" si="74"/>
        <v>3.5911663350655036E-2</v>
      </c>
      <c r="L208" s="210">
        <f t="shared" si="76"/>
        <v>2.3400714370163556E-2</v>
      </c>
      <c r="M208" s="207">
        <f t="shared" si="56"/>
        <v>8.3562978478575836E-4</v>
      </c>
      <c r="N208" s="208">
        <f t="shared" si="57"/>
        <v>2.4236344154949314E-2</v>
      </c>
      <c r="O208" s="207">
        <f t="shared" si="58"/>
        <v>0</v>
      </c>
      <c r="P208" s="207">
        <f t="shared" si="59"/>
        <v>0</v>
      </c>
      <c r="Q208" s="207">
        <v>0</v>
      </c>
      <c r="R208" s="208">
        <f t="shared" si="60"/>
        <v>2.4236344154949314E-2</v>
      </c>
    </row>
    <row r="209" spans="1:18" x14ac:dyDescent="0.2">
      <c r="A209" s="125">
        <v>10</v>
      </c>
      <c r="B209" s="199">
        <f t="shared" si="54"/>
        <v>44470</v>
      </c>
      <c r="C209" s="222">
        <f t="shared" si="71"/>
        <v>44503</v>
      </c>
      <c r="D209" s="222">
        <f t="shared" si="71"/>
        <v>44524</v>
      </c>
      <c r="E209" s="54" t="s">
        <v>17</v>
      </c>
      <c r="F209" s="162">
        <v>9</v>
      </c>
      <c r="G209" s="202">
        <v>105</v>
      </c>
      <c r="H209" s="203">
        <f t="shared" si="75"/>
        <v>3.0958330474702616E-4</v>
      </c>
      <c r="I209" s="203">
        <f t="shared" si="70"/>
        <v>5.1131360104153957E-4</v>
      </c>
      <c r="J209" s="204">
        <f t="shared" si="55"/>
        <v>5.3687928109361654E-2</v>
      </c>
      <c r="K209" s="211">
        <f t="shared" si="74"/>
        <v>3.2506246998437745E-2</v>
      </c>
      <c r="L209" s="210">
        <f t="shared" si="76"/>
        <v>2.118168111092391E-2</v>
      </c>
      <c r="M209" s="207">
        <f t="shared" si="56"/>
        <v>7.563890293319364E-4</v>
      </c>
      <c r="N209" s="208">
        <f t="shared" si="57"/>
        <v>2.1938070140255846E-2</v>
      </c>
      <c r="O209" s="207">
        <f t="shared" si="58"/>
        <v>0</v>
      </c>
      <c r="P209" s="207">
        <f t="shared" si="59"/>
        <v>0</v>
      </c>
      <c r="Q209" s="207">
        <v>0</v>
      </c>
      <c r="R209" s="208">
        <f t="shared" si="60"/>
        <v>2.1938070140255846E-2</v>
      </c>
    </row>
    <row r="210" spans="1:18" x14ac:dyDescent="0.2">
      <c r="A210" s="162">
        <v>11</v>
      </c>
      <c r="B210" s="199">
        <f t="shared" si="54"/>
        <v>44501</v>
      </c>
      <c r="C210" s="222">
        <f t="shared" si="71"/>
        <v>44533</v>
      </c>
      <c r="D210" s="222">
        <f t="shared" si="71"/>
        <v>44557</v>
      </c>
      <c r="E210" s="54" t="s">
        <v>17</v>
      </c>
      <c r="F210" s="162">
        <v>9</v>
      </c>
      <c r="G210" s="202">
        <v>100</v>
      </c>
      <c r="H210" s="203">
        <f t="shared" si="75"/>
        <v>3.0958330474702616E-4</v>
      </c>
      <c r="I210" s="203">
        <f t="shared" si="70"/>
        <v>5.1131360104153957E-4</v>
      </c>
      <c r="J210" s="204">
        <f t="shared" si="55"/>
        <v>5.1131360104153957E-2</v>
      </c>
      <c r="K210" s="211">
        <f>+$G210*H210</f>
        <v>3.0958330474702617E-2</v>
      </c>
      <c r="L210" s="210">
        <f t="shared" si="76"/>
        <v>2.017302962945134E-2</v>
      </c>
      <c r="M210" s="207">
        <f t="shared" si="56"/>
        <v>7.2037050412565378E-4</v>
      </c>
      <c r="N210" s="208">
        <f t="shared" si="57"/>
        <v>2.0893400133576993E-2</v>
      </c>
      <c r="O210" s="207">
        <f t="shared" si="58"/>
        <v>0</v>
      </c>
      <c r="P210" s="207">
        <f t="shared" si="59"/>
        <v>0</v>
      </c>
      <c r="Q210" s="207">
        <v>0</v>
      </c>
      <c r="R210" s="208">
        <f t="shared" si="60"/>
        <v>2.0893400133576993E-2</v>
      </c>
    </row>
    <row r="211" spans="1:18" s="226" customFormat="1" x14ac:dyDescent="0.2">
      <c r="A211" s="162">
        <v>12</v>
      </c>
      <c r="B211" s="224">
        <f t="shared" si="54"/>
        <v>44531</v>
      </c>
      <c r="C211" s="227">
        <f t="shared" si="71"/>
        <v>44566</v>
      </c>
      <c r="D211" s="227">
        <f t="shared" si="71"/>
        <v>44585</v>
      </c>
      <c r="E211" s="225" t="s">
        <v>17</v>
      </c>
      <c r="F211" s="173">
        <v>9</v>
      </c>
      <c r="G211" s="202">
        <v>103</v>
      </c>
      <c r="H211" s="214">
        <f t="shared" si="75"/>
        <v>3.0958330474702616E-4</v>
      </c>
      <c r="I211" s="214">
        <f t="shared" si="70"/>
        <v>5.1131360104153957E-4</v>
      </c>
      <c r="J211" s="215">
        <f t="shared" si="55"/>
        <v>5.2665300907278577E-2</v>
      </c>
      <c r="K211" s="216">
        <f>+$G211*H211</f>
        <v>3.1887080388943695E-2</v>
      </c>
      <c r="L211" s="217">
        <f t="shared" si="76"/>
        <v>2.0778220518334882E-2</v>
      </c>
      <c r="M211" s="215">
        <f t="shared" si="56"/>
        <v>7.419816192494234E-4</v>
      </c>
      <c r="N211" s="208">
        <f t="shared" si="57"/>
        <v>2.1520202137584304E-2</v>
      </c>
      <c r="O211" s="215">
        <f t="shared" si="58"/>
        <v>0</v>
      </c>
      <c r="P211" s="232">
        <f t="shared" si="59"/>
        <v>0</v>
      </c>
      <c r="Q211" s="207">
        <v>0</v>
      </c>
      <c r="R211" s="208">
        <f t="shared" si="60"/>
        <v>2.1520202137584304E-2</v>
      </c>
    </row>
    <row r="212" spans="1:18" x14ac:dyDescent="0.2">
      <c r="G212" s="233">
        <f>SUM(G20:G211)</f>
        <v>98311</v>
      </c>
      <c r="H212" s="51"/>
      <c r="I212" s="51"/>
      <c r="J212" s="51">
        <f>SUM(J20:J211)</f>
        <v>50.267751431994881</v>
      </c>
      <c r="K212" s="51">
        <f>SUM(K20:K211)</f>
        <v>30.435444272984899</v>
      </c>
      <c r="L212" s="51">
        <f>SUM(L20:L211)</f>
        <v>19.832307159009922</v>
      </c>
      <c r="M212" s="51">
        <f>SUM(M20:M211)</f>
        <v>0.70820344631097165</v>
      </c>
      <c r="N212" s="51"/>
      <c r="O212" s="51"/>
      <c r="P212" s="51">
        <f>SUM(P20:P211)</f>
        <v>0</v>
      </c>
      <c r="Q212" s="51"/>
      <c r="R212" s="234">
        <f>SUM(R20:R211)</f>
        <v>20.54051060532089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w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yMi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318B8A3B-23F5-432B-9846-F3124D5893C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F6FA9DFA-5C72-40DC-AE3F-0714747E2677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2022-05-27T21:19:10Z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90b7da01-4088-436e-908a-f2401c1a030d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{F6FA9DFA-5C72-40DC-AE3F-0714747E2677}</vt:lpwstr>
  </property>
</Properties>
</file>